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J4a4eRldqkXXCO0QMq50rC5wgf5mA3rfUrFAhftHuivxy9cl3gADmkJguaxV8+nkxI1iXP9VKUaatiPC968sJg==" workbookSaltValue="uU4Q4uK4COGDj8IXYawuJ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V18" i="21" s="1"/>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E10" i="6" s="1"/>
  <c r="G11" i="2"/>
  <c r="L11" i="14" s="1"/>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BF17" i="8"/>
  <c r="ER19" i="8"/>
  <c r="AE13" i="21"/>
  <c r="EL19" i="8"/>
  <c r="BE12" i="21"/>
  <c r="EQ19" i="8"/>
  <c r="EN19" i="8"/>
  <c r="E15" i="3"/>
  <c r="BA13" i="16"/>
  <c r="F16" i="10"/>
  <c r="ES19" i="8"/>
  <c r="G18" i="12"/>
  <c r="W19" i="8"/>
  <c r="EP19" i="8"/>
  <c r="EP19" i="19"/>
  <c r="S13" i="16"/>
  <c r="P13" i="16"/>
  <c r="W13" i="20"/>
  <c r="AO12" i="11"/>
  <c r="BV12" i="16"/>
  <c r="BV11" i="16"/>
  <c r="U10" i="17"/>
  <c r="V12" i="16"/>
  <c r="AA16" i="16"/>
  <c r="T13" i="16"/>
  <c r="AZ16" i="11"/>
  <c r="AZ11" i="11"/>
  <c r="S15" i="16"/>
  <c r="BF12" i="11"/>
  <c r="BL10" i="11"/>
  <c r="Q15" i="17"/>
  <c r="BF15" i="11"/>
  <c r="BM9" i="11"/>
  <c r="BK10" i="11"/>
  <c r="BG15" i="8"/>
  <c r="BD9" i="8"/>
  <c r="BE9" i="8"/>
  <c r="I19" i="8"/>
  <c r="U9" i="17"/>
  <c r="U19" i="17" s="1"/>
  <c r="AP13" i="16"/>
  <c r="T18" i="17"/>
  <c r="BF15" i="13"/>
  <c r="BE16" i="13"/>
  <c r="BF16" i="13"/>
  <c r="Z20" i="20"/>
  <c r="H20" i="20"/>
  <c r="G18" i="14"/>
  <c r="AK20" i="20"/>
  <c r="T20" i="20"/>
  <c r="O16" i="11"/>
  <c r="L19" i="8" l="1"/>
  <c r="C18" i="7"/>
  <c r="AL19" i="8"/>
  <c r="AJ19" i="8"/>
  <c r="R19" i="8"/>
  <c r="BM18" i="16"/>
  <c r="E18" i="12"/>
  <c r="BD12" i="8"/>
  <c r="H12" i="7" s="1"/>
  <c r="BE12" i="8"/>
  <c r="AG19" i="8"/>
  <c r="AE13" i="17"/>
  <c r="H13" i="12"/>
  <c r="D13" i="7"/>
  <c r="B13" i="7"/>
  <c r="AY13" i="8"/>
  <c r="M18" i="2"/>
  <c r="X12" i="21"/>
  <c r="BH17" i="16"/>
  <c r="BM12" i="11"/>
  <c r="BG15" i="11"/>
  <c r="AP17" i="20"/>
  <c r="BJ17" i="11"/>
  <c r="BH15" i="11"/>
  <c r="BH15" i="16"/>
  <c r="Q17" i="20"/>
  <c r="Q18" i="20" s="1"/>
  <c r="BL17" i="11"/>
  <c r="BK12" i="11"/>
  <c r="BF10" i="11"/>
  <c r="BK9" i="11"/>
  <c r="X11" i="17"/>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0" i="2"/>
  <c r="S15" i="17"/>
  <c r="X15" i="16"/>
  <c r="X18" i="16" s="1"/>
  <c r="V10" i="16"/>
  <c r="BH9" i="16"/>
  <c r="BG10" i="11"/>
  <c r="BM16" i="11"/>
  <c r="P17" i="17"/>
  <c r="BF17" i="11"/>
  <c r="BF16" i="11"/>
  <c r="S17" i="16"/>
  <c r="S18" i="16" s="1"/>
  <c r="BL12" i="11"/>
  <c r="V12" i="21"/>
  <c r="V17" i="16"/>
  <c r="BK11" i="11"/>
  <c r="V11" i="11"/>
  <c r="AP10" i="21"/>
  <c r="BH9" i="11"/>
  <c r="BI15" i="11"/>
  <c r="BJ15" i="11"/>
  <c r="BJ12" i="11"/>
  <c r="AP15" i="20"/>
  <c r="R17" i="20"/>
  <c r="R18" i="20" s="1"/>
  <c r="BK17" i="11"/>
  <c r="AZ9" i="11"/>
  <c r="AZ19" i="11" s="1"/>
  <c r="AZ15" i="11"/>
  <c r="AZ18" i="11" s="1"/>
  <c r="BU11" i="17"/>
  <c r="BV17" i="16"/>
  <c r="L12" i="2"/>
  <c r="BH12" i="16"/>
  <c r="S17" i="17"/>
  <c r="BM17" i="11"/>
  <c r="BH10" i="16"/>
  <c r="BL15" i="11"/>
  <c r="P15" i="17"/>
  <c r="X17" i="17"/>
  <c r="S11" i="14"/>
  <c r="V11" i="14" s="1"/>
  <c r="BU12" i="17"/>
  <c r="BW10" i="20"/>
  <c r="BW11" i="20"/>
  <c r="BW12" i="20"/>
  <c r="BU10" i="17"/>
  <c r="X13" i="20"/>
  <c r="F11" i="11"/>
  <c r="AQ11" i="11" s="1"/>
  <c r="BE15" i="13"/>
  <c r="V15" i="11"/>
  <c r="AP16" i="20"/>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AB21" i="21" l="1"/>
  <c r="AZ13" i="1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<sst xmlns="http://schemas.openxmlformats.org/spreadsheetml/2006/main" count="2094" uniqueCount="914">
  <si>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</si>
  <si>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</si>
  <si>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</si>
  <si>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</si>
  <si>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</si>
  <si>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</si>
  <si>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</si>
  <si>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</si>
  <si>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</si>
  <si>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</si>
  <si>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</si>
  <si>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</si>
  <si>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</si>
  <si>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</si>
  <si>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</si>
  <si>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</si>
  <si>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</si>
  <si>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</si>
  <si>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</si>
  <si>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</si>
  <si>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</si>
  <si>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</si>
  <si>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</si>
  <si>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</si>
  <si>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</si>
  <si>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</si>
  <si>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</si>
  <si>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</si>
  <si>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</si>
  <si>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</si>
  <si>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</si>
  <si>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</si>
  <si>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</si>
  <si>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</si>
  <si>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</si>
  <si>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</si>
  <si>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</si>
  <si>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</si>
  <si>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</si>
  <si>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</si>
  <si>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</si>
  <si>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</si>
  <si>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</si>
  <si>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</si>
  <si>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</si>
  <si>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</si>
  <si>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</si>
  <si>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</si>
  <si>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</si>
  <si>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</si>
  <si>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</si>
  <si>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</si>
  <si>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</si>
  <si>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</si>
  <si>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</si>
  <si>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</si>
  <si>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</si>
  <si>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</si>
  <si>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</si>
  <si>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</si>
  <si>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</si>
  <si>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</si>
  <si>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</si>
  <si>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</si>
  <si>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</si>
  <si>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</si>
  <si>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</si>
  <si>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</si>
  <si>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</si>
  <si>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</si>
  <si>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</si>
  <si>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</si>
  <si>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</si>
  <si>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</si>
  <si>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</si>
  <si>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</si>
  <si>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</si>
  <si>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</si>
  <si>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</si>
  <si>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</si>
  <si>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</si>
  <si>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</si>
  <si>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</si>
  <si>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</si>
  <si>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</si>
  <si>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</si>
  <si>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</si>
  <si>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</si>
  <si>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</si>
  <si>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</si>
  <si>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</si>
  <si>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</si>
  <si>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</si>
  <si>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</si>
  <si>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</si>
  <si>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</si>
  <si>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</si>
  <si>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</si>
  <si>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</si>
  <si>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</si>
  <si>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</si>
  <si>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</si>
  <si>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</si>
  <si>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</si>
  <si>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</si>
  <si>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</si>
  <si>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</si>
  <si>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</si>
  <si>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</si>
  <si>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</si>
  <si>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</si>
  <si>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</si>
  <si>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</si>
  <si>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</si>
  <si>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</si>
  <si>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</si>
  <si>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</si>
  <si>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</si>
  <si>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</si>
  <si>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</si>
  <si>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</si>
  <si>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</si>
  <si>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</si>
  <si>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</si>
  <si>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</si>
  <si>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</si>
  <si>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</si>
  <si>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</si>
  <si>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</si>
  <si>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</si>
  <si>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</si>
  <si>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</si>
  <si>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</si>
  <si>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</si>
  <si>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</si>
  <si>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</si>
  <si>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</si>
  <si>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</si>
  <si>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</si>
  <si>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</si>
  <si>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</si>
  <si>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</si>
  <si>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</si>
  <si>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</si>
  <si>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</si>
  <si>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</si>
  <si>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</si>
  <si>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</si>
  <si>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</si>
  <si>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</si>
  <si>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</si>
  <si>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</si>
  <si>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</si>
  <si>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</si>
  <si>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</si>
  <si>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</si>
  <si>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</si>
  <si>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</si>
  <si>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</si>
  <si>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</si>
  <si>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</si>
  <si>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</si>
  <si>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</si>
  <si>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</si>
  <si>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</si>
  <si>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</si>
  <si>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</si>
  <si>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</si>
  <si>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</si>
  <si>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</si>
  <si>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</si>
  <si>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</si>
  <si>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</si>
  <si>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</si>
  <si>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</si>
  <si>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</si>
  <si>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</si>
  <si>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</si>
  <si>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</si>
  <si>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</si>
  <si>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</si>
  <si>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</si>
  <si>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</si>
  <si>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</si>
  <si>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</si>
  <si>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</si>
  <si>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</si>
  <si>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</si>
  <si>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</si>
  <si>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</si>
  <si>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</si>
  <si>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</si>
  <si>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</si>
  <si>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</si>
  <si>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</si>
  <si>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</si>
  <si>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</si>
  <si>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</si>
  <si>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</si>
  <si>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</si>
  <si>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</si>
  <si>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</si>
  <si>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</si>
  <si>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</si>
  <si>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</si>
  <si>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</si>
  <si>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</si>
  <si>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</si>
  <si>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</si>
  <si>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</si>
  <si>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</si>
  <si>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</si>
  <si>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</si>
  <si>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</si>
  <si>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</si>
  <si>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</si>
  <si>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</si>
  <si>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</si>
  <si>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</si>
  <si>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</si>
  <si>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</si>
  <si>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</si>
  <si>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</si>
  <si>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</si>
  <si>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</si>
  <si>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</si>
  <si>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</si>
  <si>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</si>
  <si>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</si>
  <si>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</si>
  <si>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</si>
  <si>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</si>
  <si>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</si>
  <si>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</si>
  <si>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</si>
  <si>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</si>
  <si>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</si>
  <si>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</si>
  <si>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</si>
  <si>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</si>
  <si>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</si>
  <si>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</si>
  <si>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</si>
  <si>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</si>
  <si>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</si>
  <si>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</si>
  <si>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</si>
  <si>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</si>
  <si>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</si>
  <si>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</si>
  <si>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</si>
  <si>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</si>
  <si>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</si>
  <si>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</si>
  <si>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</si>
  <si>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</si>
  <si>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</si>
  <si>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</si>
  <si>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</si>
  <si>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</si>
  <si>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</si>
  <si>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</si>
  <si>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</si>
  <si>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</si>
  <si>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</si>
  <si>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</si>
  <si>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</si>
  <si>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</si>
  <si>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</si>
  <si>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</si>
  <si>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</si>
  <si>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</si>
  <si>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</si>
  <si>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</si>
  <si>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</si>
  <si>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</si>
  <si>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</si>
  <si>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</si>
  <si>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</si>
  <si>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</si>
  <si>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</si>
  <si>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</si>
  <si>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</si>
  <si>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</si>
  <si>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</si>
  <si>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</si>
  <si>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</si>
  <si>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</si>
  <si>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</si>
  <si>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</si>
  <si>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</si>
  <si>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</si>
  <si>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</si>
  <si>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</si>
  <si>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</si>
  <si>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</si>
  <si>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</si>
  <si>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</si>
  <si>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</si>
  <si>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</si>
  <si>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</si>
  <si>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</si>
  <si>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</si>
  <si>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</si>
  <si>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</si>
  <si>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</si>
  <si>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</si>
  <si>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</si>
  <si>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</si>
  <si>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</si>
  <si>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</si>
  <si>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</si>
  <si>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</si>
  <si>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</si>
  <si>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</si>
  <si>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</si>
  <si>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</si>
  <si>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</si>
  <si>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</si>
  <si>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</si>
  <si>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</si>
  <si>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</si>
  <si>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</si>
  <si>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</si>
  <si>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</si>
  <si>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</si>
  <si>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</si>
  <si>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</si>
  <si>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</si>
  <si>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</si>
  <si>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</si>
  <si>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</si>
  <si>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</si>
  <si>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</si>
  <si>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</si>
  <si>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</si>
  <si>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</si>
  <si>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</si>
  <si>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</si>
  <si>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</si>
  <si>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</si>
  <si>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</si>
  <si>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</si>
  <si>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</si>
  <si>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</si>
  <si>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</si>
  <si>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</si>
  <si>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</si>
  <si>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</si>
  <si>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</si>
  <si>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</si>
  <si>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</si>
  <si>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</si>
  <si>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</si>
  <si>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</si>
  <si>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</si>
  <si>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</si>
  <si>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</si>
  <si>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</si>
  <si>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</si>
  <si>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</si>
  <si>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</si>
  <si>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</si>
  <si>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</si>
  <si>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</si>
  <si>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</si>
  <si>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</si>
  <si>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</si>
  <si>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</si>
  <si>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</si>
  <si>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</si>
  <si>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</si>
  <si>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</si>
  <si>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</si>
  <si>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</si>
  <si>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</si>
  <si>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</si>
  <si>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</si>
  <si>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</si>
  <si>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</si>
  <si>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</si>
  <si>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</si>
  <si>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</si>
  <si>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</si>
  <si>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</si>
  <si>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</si>
  <si>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</si>
  <si>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</si>
  <si>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</si>
  <si>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</si>
  <si>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</si>
  <si>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</si>
  <si>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</si>
  <si>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</si>
  <si>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</si>
  <si>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</si>
  <si>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</si>
  <si>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</si>
  <si>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</si>
  <si>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</si>
  <si>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</si>
  <si>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</si>
  <si>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</si>
  <si>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</si>
  <si>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</si>
  <si>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</si>
  <si>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</si>
  <si>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</si>
  <si>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</si>
  <si>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</si>
  <si>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</si>
  <si>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</si>
  <si>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</si>
  <si>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</si>
  <si>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</si>
  <si>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</si>
  <si>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</si>
  <si>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</si>
  <si>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</si>
  <si>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</si>
  <si>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</si>
  <si>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</si>
  <si>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</si>
  <si>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</si>
  <si>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</si>
  <si>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</si>
  <si>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</si>
  <si>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</si>
  <si>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</si>
  <si>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</si>
  <si>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</si>
  <si>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</si>
  <si>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</si>
  <si>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</si>
  <si>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</si>
  <si>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</si>
  <si>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</si>
  <si>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</si>
  <si>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</si>
  <si>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</si>
  <si>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</si>
  <si>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</si>
  <si>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</si>
  <si>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</si>
  <si>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</si>
  <si>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</si>
  <si>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</si>
  <si>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</si>
  <si>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</si>
  <si>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</si>
  <si>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</si>
  <si>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</si>
  <si>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</si>
  <si>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</si>
  <si>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</si>
  <si>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</si>
  <si>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</si>
  <si>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</si>
  <si>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</si>
  <si>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</si>
  <si>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</si>
  <si>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</si>
  <si>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</si>
  <si>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</si>
  <si>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</si>
  <si>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</si>
  <si>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</si>
  <si>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</si>
  <si>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</si>
  <si>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</si>
  <si>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</si>
  <si>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</si>
  <si>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</si>
  <si>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</si>
  <si>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</si>
  <si>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</si>
  <si>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</si>
  <si>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</si>
  <si>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</si>
  <si>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</si>
  <si>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</si>
  <si>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</si>
  <si>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</si>
  <si>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</si>
  <si>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</si>
  <si>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</si>
  <si>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</si>
  <si>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</si>
  <si>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</si>
  <si>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</si>
  <si>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</si>
  <si>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</si>
  <si>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</si>
  <si>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</si>
  <si>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</si>
  <si>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</si>
  <si>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</si>
  <si>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</si>
  <si>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</si>
  <si>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</si>
  <si>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</si>
  <si>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</si>
  <si>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</si>
  <si>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</si>
  <si>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</si>
  <si>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</si>
  <si>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</si>
  <si>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</si>
  <si>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</si>
  <si>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</si>
  <si>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</si>
  <si>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</si>
  <si>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</si>
  <si>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</si>
  <si>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</si>
  <si>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</si>
  <si>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</si>
  <si>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</si>
  <si>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</si>
  <si>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</si>
  <si>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</si>
  <si>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</si>
  <si>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</si>
  <si>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</si>
  <si>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</si>
  <si>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</si>
  <si>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</si>
  <si>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</si>
  <si>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</si>
  <si>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</si>
  <si>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</si>
  <si>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</si>
  <si>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</si>
  <si>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</si>
  <si>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</si>
  <si>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</si>
  <si>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</si>
  <si>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</si>
  <si>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</si>
  <si>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</si>
  <si>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</si>
  <si>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</si>
  <si>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</si>
  <si>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</si>
  <si>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</si>
  <si>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</si>
  <si>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</si>
  <si>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</si>
  <si>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</si>
  <si>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</si>
  <si>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</si>
  <si>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</si>
  <si>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</si>
  <si>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</si>
  <si>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</si>
  <si>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</si>
  <si>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</si>
  <si>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</si>
  <si>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</si>
  <si>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</si>
  <si>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</si>
  <si>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</si>
  <si>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</si>
  <si>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</si>
  <si>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</si>
  <si>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</si>
  <si>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</si>
  <si>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</si>
  <si>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</si>
  <si>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</si>
  <si>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</si>
  <si>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</si>
  <si>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</si>
  <si>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</si>
  <si>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</si>
  <si>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</si>
  <si>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</si>
  <si>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</si>
  <si>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</si>
  <si>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</si>
  <si>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</si>
  <si>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</si>
  <si>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</si>
  <si>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</si>
  <si>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</si>
  <si>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</si>
  <si>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</si>
  <si>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</si>
  <si>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</si>
  <si>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</si>
  <si>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</si>
  <si>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</si>
  <si>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</si>
  <si>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</si>
  <si>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</si>
  <si>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</si>
  <si>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</si>
  <si>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</si>
  <si>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</si>
  <si>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</si>
  <si>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</si>
  <si>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</si>
  <si>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</si>
  <si>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</si>
  <si>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</si>
  <si>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</si>
  <si>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</si>
  <si>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</si>
  <si>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</si>
  <si>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</si>
  <si>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</si>
  <si>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</si>
  <si>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</si>
  <si>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</si>
  <si>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</si>
  <si>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</si>
  <si>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</si>
  <si>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</si>
  <si>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</si>
  <si>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</si>
  <si>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</si>
  <si>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</si>
  <si>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</si>
  <si>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</si>
  <si>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</si>
  <si>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</si>
  <si>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</si>
  <si>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</si>
  <si>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</si>
  <si>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</si>
  <si>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</si>
  <si>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</si>
  <si>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</si>
  <si>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</si>
  <si>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</si>
  <si>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</si>
  <si>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</si>
  <si>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</si>
  <si>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</si>
  <si>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</si>
  <si>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</si>
  <si>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</si>
  <si>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</si>
  <si>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</si>
  <si>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</si>
  <si>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</si>
  <si>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</si>
  <si>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</si>
  <si>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</si>
  <si>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</si>
  <si>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</si>
  <si>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</si>
  <si>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</si>
  <si>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</si>
  <si>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</si>
  <si>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</si>
  <si>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</si>
  <si>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</si>
  <si>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</si>
  <si>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</si>
  <si>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</si>
  <si>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</si>
  <si>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</si>
  <si>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</si>
  <si>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</si>
  <si>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</si>
  <si>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</si>
  <si>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</si>
  <si>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</si>
  <si>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</si>
  <si>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</si>
  <si>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</si>
  <si>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</si>
  <si>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</si>
  <si>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</si>
  <si>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</si>
  <si>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</si>
  <si>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</si>
  <si>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</si>
  <si>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</si>
  <si>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</si>
  <si>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</si>
  <si>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</si>
  <si>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</si>
  <si>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</si>
  <si>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</si>
  <si>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</si>
  <si>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</si>
  <si>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</si>
  <si>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</si>
  <si>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</si>
  <si>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</si>
  <si>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</si>
  <si>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</si>
  <si>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</si>
  <si>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</si>
  <si>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</si>
  <si>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</si>
  <si>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</si>
  <si>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</si>
  <si>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</si>
  <si>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</si>
  <si>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</si>
  <si>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</si>
  <si>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</si>
  <si>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</si>
  <si>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</si>
  <si>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</si>
  <si>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</si>
  <si>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</si>
  <si>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</si>
  <si>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</si>
  <si>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</si>
  <si>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</si>
  <si>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</si>
  <si>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</si>
  <si>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</si>
  <si>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</si>
  <si>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</si>
  <si>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</si>
  <si>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</si>
  <si>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</si>
  <si>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</si>
  <si>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</si>
  <si>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</si>
  <si>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</si>
  <si>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</si>
  <si>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</si>
  <si>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</si>
  <si>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</si>
  <si>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</si>
  <si>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</si>
  <si>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</si>
  <si>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</si>
  <si>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</si>
  <si>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</si>
  <si>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</si>
  <si>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</si>
  <si>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</si>
  <si>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</si>
  <si>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</si>
  <si>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</si>
  <si>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</si>
  <si>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</si>
  <si>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</si>
  <si>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</si>
  <si>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</si>
  <si>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</si>
  <si>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</si>
  <si>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</si>
  <si>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</si>
  <si>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</si>
  <si>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</si>
  <si>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</si>
  <si>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</si>
  <si>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</si>
  <si>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</si>
  <si>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</si>
  <si>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</si>
  <si>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</si>
  <si>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</si>
  <si>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</si>
  <si>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</si>
  <si>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</si>
  <si>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</si>
  <si>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</si>
  <si>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</si>
  <si>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</si>
  <si>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</si>
  <si>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</si>
  <si>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</si>
  <si>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</si>
  <si>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</si>
  <si>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</si>
  <si>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</si>
  <si>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</si>
  <si>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</si>
  <si>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</si>
  <si>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</si>
  <si>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</si>
  <si>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</si>
  <si>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</si>
  <si>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</si>
  <si>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</si>
  <si>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</si>
  <si>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</si>
  <si>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</si>
  <si>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</si>
  <si>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</si>
  <si>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</si>
  <si>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</si>
  <si>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</si>
  <si>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</si>
  <si>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</si>
  <si>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</si>
  <si>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</si>
  <si>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</si>
  <si>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</si>
  <si>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</si>
  <si>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</si>
  <si>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</si>
  <si>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</si>
  <si>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</si>
  <si>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</si>
  <si>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</si>
  <si>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</si>
  <si>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</si>
  <si>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</si>
  <si>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</si>
  <si>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</si>
  <si>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</si>
  <si>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</si>
  <si>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</si>
  <si>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</si>
  <si>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</si>
  <si>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</si>
  <si>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</si>
  <si>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</si>
  <si>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</si>
  <si>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</si>
  <si>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</si>
  <si>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</si>
  <si>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</si>
  <si>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</si>
  <si>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</si>
  <si>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</si>
  <si>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</si>
  <si>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</si>
  <si>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</si>
  <si>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</si>
  <si>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</si>
  <si>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</si>
  <si>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</si>
  <si>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</si>
  <si>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</si>
  <si>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</si>
  <si>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</si>
  <si>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</si>
  <si>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</si>
  <si>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</si>
  <si>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</si>
  <si>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</si>
  <si>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</si>
  <si>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</si>
  <si>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</si>
  <si>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</si>
  <si>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</si>
  <si>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</si>
  <si>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</si>
  <si>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</si>
  <si>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</si>
  <si>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</si>
  <si>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</si>
  <si>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</si>
  <si>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</si>
  <si>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</si>
  <si>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</si>
  <si>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</si>
  <si>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</si>
  <si>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</si>
  <si>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</si>
  <si>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</si>
  <si>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</si>
  <si>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</si>
  <si>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</si>
  <si>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</si>
  <si>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</si>
  <si>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</si>
  <si>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</si>
  <si>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</si>
  <si>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</si>
  <si>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</si>
  <si>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</si>
  <si>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</si>
  <si>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</si>
  <si>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</si>
  <si>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</si>
  <si>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</si>
  <si>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</si>
  <si>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</si>
  <si>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</si>
  <si>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</si>
  <si>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</si>
  <si>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</si>
  <si>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</si>
  <si>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</si>
  <si>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</si>
  <si>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</si>
  <si>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</si>
  <si>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</si>
  <si>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</si>
  <si>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</si>
  <si>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</si>
  <si>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</si>
  <si>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</si>
  <si>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</si>
  <si>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</si>
  <si>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</si>
  <si>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</si>
  <si>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</si>
  <si>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</si>
  <si>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</si>
  <si>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</si>
  <si>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</si>
  <si>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</si>
  <si>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</si>
  <si>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</si>
  <si>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</si>
  <si>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</si>
  <si>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ARAGON</t>
  </si>
  <si>
    <t>Provincias</t>
  </si>
  <si>
    <t>ZARAGOZA</t>
  </si>
  <si>
    <t>Resumenes por Partidos Judiciales</t>
  </si>
  <si>
    <t>EJEA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</si>
</sst>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keIXqEHJPTdCjFJR+YsF7zELpKDy2Pabds+kn8sgW87qC+pJhqlMgl07S5ucO5+DRkcKDetygLhT+TCynrygw==" saltValue="UpQcs6HDwdye5RyMdlbz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ARAGON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40.408163265306122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713</v>
      </c>
      <c r="D16" s="225">
        <f>IF(ISNUMBER(IF(D_I="SI",Datos!I16,Datos!I16+Datos!AC16)),IF(D_I="SI",Datos!I16,Datos!I16+Datos!AC16)," - ")</f>
        <v>704</v>
      </c>
      <c r="E16" s="226">
        <f>IF(ISNUMBER(IF(D_I="SI",Datos!J16,Datos!J16+Datos!AD16)),IF(D_I="SI",Datos!J16,Datos!J16+Datos!AD16)," - ")</f>
        <v>485</v>
      </c>
      <c r="F16" s="226">
        <f>IF(ISNUMBER(IF(D_I="SI",Datos!K16,Datos!K16+Datos!AE16)),IF(D_I="SI",Datos!K16,Datos!K16+Datos!AE16)," - ")</f>
        <v>375</v>
      </c>
      <c r="G16" s="1034" t="str">
        <f>IF(Datos!E16&lt;&gt;"",Datos!E16,Datos!D16)</f>
        <v>04</v>
      </c>
      <c r="H16" s="227">
        <f>IF(ISNUMBER(IF(D_I="SI",Datos!L16,Datos!L16+Datos!AF16)),IF(D_I="SI",Datos!L16,Datos!L16+Datos!AF16)," - ")</f>
        <v>823</v>
      </c>
      <c r="I16" s="1044" t="str">
        <f>IF(ISNUMBER(Datos!AS16/Datos!BM16),Datos!AS16/Datos!BM16," - ")</f>
        <v xml:space="preserve"> - </v>
      </c>
      <c r="J16" s="1045">
        <f>IF(ISNUMBER(Datos!BY16/Datos!CN16),Datos!BY16/Datos!CN16," - ")</f>
        <v>0</v>
      </c>
      <c r="K16" s="230">
        <f t="shared" si="3"/>
        <v>0.15427769985974754</v>
      </c>
      <c r="L16" s="1025">
        <f>IF(ISNUMBER(NºAsuntos!I16/NºAsuntos!G16),(NºAsuntos!I16/NºAsuntos!G16)*11," - ")</f>
        <v>24.141333333333332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32</v>
      </c>
      <c r="D17" s="225">
        <f>IF(ISNUMBER(IF(D_I="SI",Datos!I17,Datos!I17+Datos!AC17)),IF(D_I="SI",Datos!I17,Datos!I17+Datos!AC17)," - ")</f>
        <v>32</v>
      </c>
      <c r="E17" s="226">
        <f>IF(ISNUMBER(IF(D_I="SI",Datos!J17,Datos!J17+Datos!AD17)),IF(D_I="SI",Datos!J17,Datos!J17+Datos!AD17)," - ")</f>
        <v>14</v>
      </c>
      <c r="F17" s="226">
        <f>IF(ISNUMBER(IF(D_I="SI",Datos!K17,Datos!K17+Datos!AE17)),IF(D_I="SI",Datos!K17,Datos!K17+Datos!AE17)," - ")</f>
        <v>14</v>
      </c>
      <c r="G17" s="1034" t="str">
        <f>IF(Datos!E17&lt;&gt;"",Datos!E17,Datos!D17)</f>
        <v>37</v>
      </c>
      <c r="H17" s="227">
        <f>IF(ISNUMBER(IF(D_I="SI",Datos!L17,Datos!L17+Datos!AF17)),IF(D_I="SI",Datos!L17,Datos!L17+Datos!AF17)," - ")</f>
        <v>32</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25.142857142857142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745</v>
      </c>
      <c r="D18" s="1049">
        <f>SUBTOTAL(9,D15:D17)</f>
        <v>736</v>
      </c>
      <c r="E18" s="1050">
        <f>SUBTOTAL(9,E15:E17)</f>
        <v>499</v>
      </c>
      <c r="F18" s="1050">
        <f>SUBTOTAL(9,F15:F17)</f>
        <v>389</v>
      </c>
      <c r="G18" s="1052" t="str">
        <f ca="1">INDIRECT(CONCATENATE("G",ROW()-1))</f>
        <v>37</v>
      </c>
      <c r="H18" s="1053">
        <f ca="1">SUMIF(G$14:G17,G18,H$14:H17)</f>
        <v>32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745</v>
      </c>
      <c r="D19" s="1071">
        <f>SUBTOTAL(9,D9:D18)</f>
        <v>736</v>
      </c>
      <c r="E19" s="1072">
        <f>SUBTOTAL(9,E9:E18)</f>
        <v>499</v>
      </c>
      <c r="F19" s="1072">
        <f>SUBTOTAL(9,F9:F18)</f>
        <v>389</v>
      </c>
      <c r="G19" s="1073"/>
      <c r="H19" s="1074">
        <f ca="1">SUMIF(B9:B18,"TOTAL",H9:H18)</f>
        <v>32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piRhcxvX3zcIGVBNqPmhXmnVtJ8RhzzVvzI2q1D4dq3tzC8jTlmh1lz1A59LZ4BijkrozxeraPuezn+uHPceA==" saltValue="ruKl/m70TUVaHm9H5A0zt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2gy2KBtzp3aeWo8noyktwKuYfSN5zXxzfo2rs84uFOzCKvQfw3s5tWUONtBpHiZMgKmWlzgg8uPbKKHkdGrwpQ==" saltValue="NAVDGkNxrmEWbsu9wq5x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608</v>
      </c>
      <c r="J12" s="183">
        <v>454</v>
      </c>
      <c r="K12" s="183">
        <v>236</v>
      </c>
      <c r="L12" s="183">
        <v>833</v>
      </c>
      <c r="M12" s="183">
        <v>79</v>
      </c>
      <c r="N12" s="183">
        <v>122</v>
      </c>
      <c r="O12" s="181">
        <v>64</v>
      </c>
      <c r="P12" s="183">
        <v>102</v>
      </c>
      <c r="Q12" s="183">
        <v>87</v>
      </c>
      <c r="R12" s="183">
        <v>1516</v>
      </c>
      <c r="S12" s="183">
        <v>435</v>
      </c>
      <c r="T12" s="183">
        <v>312</v>
      </c>
      <c r="U12" s="183">
        <v>275</v>
      </c>
      <c r="V12" s="183">
        <v>472</v>
      </c>
      <c r="W12" s="183">
        <v>43</v>
      </c>
      <c r="X12" s="189">
        <v>72</v>
      </c>
      <c r="Y12" s="191">
        <v>69</v>
      </c>
      <c r="Z12" s="181">
        <v>7</v>
      </c>
      <c r="AA12" s="181">
        <v>9</v>
      </c>
      <c r="AB12" s="181">
        <v>67</v>
      </c>
      <c r="AC12" s="183">
        <v>0</v>
      </c>
      <c r="AD12" s="183">
        <v>0</v>
      </c>
      <c r="AE12" s="183">
        <v>0</v>
      </c>
      <c r="AF12" s="189">
        <v>0</v>
      </c>
      <c r="AG12" s="202">
        <v>58</v>
      </c>
      <c r="AH12" s="183">
        <v>11</v>
      </c>
      <c r="AI12" s="183">
        <v>9</v>
      </c>
      <c r="AJ12" s="203">
        <v>60</v>
      </c>
      <c r="AK12" s="182">
        <v>0</v>
      </c>
      <c r="AL12" s="183">
        <v>0</v>
      </c>
      <c r="AM12" s="183">
        <v>0</v>
      </c>
      <c r="AN12" s="189">
        <v>0</v>
      </c>
      <c r="AO12" s="259">
        <v>2</v>
      </c>
      <c r="AP12" s="155">
        <v>2</v>
      </c>
      <c r="AQ12" s="155">
        <v>2</v>
      </c>
      <c r="AR12" s="154">
        <v>2</v>
      </c>
      <c r="AS12" s="340" t="s">
        <v>802</v>
      </c>
      <c r="AT12" s="203"/>
      <c r="AU12" s="202"/>
      <c r="AV12" s="203"/>
      <c r="AW12" s="202"/>
      <c r="AX12" s="203"/>
      <c r="AY12" s="126">
        <f t="shared" si="1"/>
        <v>493</v>
      </c>
      <c r="AZ12" s="127">
        <f t="shared" si="1"/>
        <v>323</v>
      </c>
      <c r="BA12" s="127">
        <f t="shared" si="1"/>
        <v>284</v>
      </c>
      <c r="BB12" s="127">
        <f t="shared" si="1"/>
        <v>532</v>
      </c>
      <c r="BC12" s="125">
        <f>IF(ISNUMBER(X12),X12," - ")</f>
        <v>72</v>
      </c>
      <c r="BD12" s="126">
        <f t="shared" si="2"/>
        <v>0.87925696594427249</v>
      </c>
      <c r="BE12" s="127">
        <f t="shared" si="3"/>
        <v>1.8732394366197183</v>
      </c>
      <c r="BF12" s="127">
        <f t="shared" si="4"/>
        <v>0.25352112676056338</v>
      </c>
      <c r="BG12" s="196">
        <f t="shared" si="5"/>
        <v>2.8732394366197185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608</v>
      </c>
      <c r="J13" s="184">
        <f t="shared" si="6"/>
        <v>454</v>
      </c>
      <c r="K13" s="184">
        <f t="shared" si="6"/>
        <v>236</v>
      </c>
      <c r="L13" s="184">
        <f t="shared" si="6"/>
        <v>833</v>
      </c>
      <c r="M13" s="184">
        <f t="shared" si="6"/>
        <v>79</v>
      </c>
      <c r="N13" s="184">
        <f t="shared" si="6"/>
        <v>122</v>
      </c>
      <c r="O13" s="184">
        <f t="shared" si="6"/>
        <v>64</v>
      </c>
      <c r="P13" s="184">
        <f t="shared" si="6"/>
        <v>102</v>
      </c>
      <c r="Q13" s="184">
        <f t="shared" si="6"/>
        <v>87</v>
      </c>
      <c r="R13" s="184">
        <f t="shared" si="6"/>
        <v>1516</v>
      </c>
      <c r="S13" s="184">
        <f t="shared" si="6"/>
        <v>435</v>
      </c>
      <c r="T13" s="184">
        <f t="shared" si="6"/>
        <v>312</v>
      </c>
      <c r="U13" s="184">
        <f t="shared" si="6"/>
        <v>275</v>
      </c>
      <c r="V13" s="184">
        <f t="shared" si="6"/>
        <v>472</v>
      </c>
      <c r="W13" s="184">
        <f t="shared" si="6"/>
        <v>43</v>
      </c>
      <c r="X13" s="184">
        <f t="shared" si="6"/>
        <v>72</v>
      </c>
      <c r="Y13" s="184">
        <f t="shared" si="6"/>
        <v>69</v>
      </c>
      <c r="Z13" s="184">
        <f t="shared" si="6"/>
        <v>7</v>
      </c>
      <c r="AA13" s="184">
        <f t="shared" si="6"/>
        <v>9</v>
      </c>
      <c r="AB13" s="184">
        <f t="shared" si="6"/>
        <v>67</v>
      </c>
      <c r="AC13" s="184">
        <f t="shared" si="6"/>
        <v>0</v>
      </c>
      <c r="AD13" s="184">
        <f t="shared" si="6"/>
        <v>0</v>
      </c>
      <c r="AE13" s="184">
        <f t="shared" si="6"/>
        <v>0</v>
      </c>
      <c r="AF13" s="184">
        <f>SUBTOTAL(9,AF9:AF12)</f>
        <v>0</v>
      </c>
      <c r="AG13" s="184">
        <f t="shared" ref="AG13:AT13" si="7">SUBTOTAL(9,AG8:AG12)</f>
        <v>58</v>
      </c>
      <c r="AH13" s="184">
        <f t="shared" si="7"/>
        <v>11</v>
      </c>
      <c r="AI13" s="184">
        <f t="shared" si="7"/>
        <v>9</v>
      </c>
      <c r="AJ13" s="184">
        <f t="shared" si="7"/>
        <v>60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493</v>
      </c>
      <c r="AZ13" s="184">
        <f>SUBTOTAL(9,AZ8:AZ12)</f>
        <v>323</v>
      </c>
      <c r="BA13" s="184">
        <f>SUBTOTAL(9,BA8:BA12)</f>
        <v>284</v>
      </c>
      <c r="BB13" s="184">
        <f>SUBTOTAL(9,BB8:BB12)</f>
        <v>532</v>
      </c>
      <c r="BC13" s="184">
        <f>SUBTOTAL(9,BC8:BC12)</f>
        <v>72</v>
      </c>
      <c r="BD13" s="205">
        <f>IF(ISNUMBER(BA13/AZ13),BA13/AZ13," - ")</f>
        <v>0.87925696594427249</v>
      </c>
      <c r="BE13" s="206">
        <f>IF(ISNUMBER(BB13/BA13),BB13/BA13, " - ")</f>
        <v>1.8732394366197183</v>
      </c>
      <c r="BF13" s="206">
        <f>IF(ISNUMBER(BC13/BA13),BC13/BA13, " - ")</f>
        <v>0.25352112676056338</v>
      </c>
      <c r="BG13" s="207">
        <f>IF(ISNUMBER((AY13+AZ13)/BA13),(AY13+AZ13)/BA13," - ")</f>
        <v>2.8732394366197185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704</v>
      </c>
      <c r="J16" s="183">
        <v>485</v>
      </c>
      <c r="K16" s="183">
        <v>375</v>
      </c>
      <c r="L16" s="183">
        <v>823</v>
      </c>
      <c r="M16" s="183">
        <v>19</v>
      </c>
      <c r="N16" s="183">
        <v>186</v>
      </c>
      <c r="O16" s="181">
        <v>1</v>
      </c>
      <c r="P16" s="183">
        <v>13</v>
      </c>
      <c r="Q16" s="183">
        <v>3</v>
      </c>
      <c r="R16" s="183">
        <v>56</v>
      </c>
      <c r="S16" s="183">
        <v>244</v>
      </c>
      <c r="T16" s="183">
        <v>440</v>
      </c>
      <c r="U16" s="183">
        <v>340</v>
      </c>
      <c r="V16" s="183">
        <v>348</v>
      </c>
      <c r="W16" s="183">
        <v>27</v>
      </c>
      <c r="X16" s="189">
        <v>194</v>
      </c>
      <c r="Y16" s="202">
        <v>0</v>
      </c>
      <c r="Z16" s="183">
        <v>0</v>
      </c>
      <c r="AA16" s="183">
        <v>0</v>
      </c>
      <c r="AB16" s="183">
        <v>0</v>
      </c>
      <c r="AC16" s="183">
        <v>7</v>
      </c>
      <c r="AD16" s="183">
        <v>7</v>
      </c>
      <c r="AE16" s="183">
        <v>7</v>
      </c>
      <c r="AF16" s="189">
        <v>7</v>
      </c>
      <c r="AG16" s="202">
        <v>0</v>
      </c>
      <c r="AH16" s="183">
        <v>0</v>
      </c>
      <c r="AI16" s="183">
        <v>0</v>
      </c>
      <c r="AJ16" s="203">
        <v>0</v>
      </c>
      <c r="AK16" s="182">
        <v>17</v>
      </c>
      <c r="AL16" s="183">
        <v>1</v>
      </c>
      <c r="AM16" s="183">
        <v>7</v>
      </c>
      <c r="AN16" s="189">
        <v>11</v>
      </c>
      <c r="AO16" s="259">
        <v>2</v>
      </c>
      <c r="AP16" s="155">
        <v>2</v>
      </c>
      <c r="AQ16" s="155">
        <v>2</v>
      </c>
      <c r="AR16" s="155">
        <v>2</v>
      </c>
      <c r="AS16" s="340" t="s">
        <v>487</v>
      </c>
      <c r="AT16" s="203"/>
      <c r="AU16" s="202"/>
      <c r="AV16" s="203"/>
      <c r="AW16" s="202"/>
      <c r="AX16" s="203"/>
      <c r="AY16" s="126">
        <f t="shared" si="9"/>
        <v>244</v>
      </c>
      <c r="AZ16" s="127">
        <f t="shared" si="9"/>
        <v>440</v>
      </c>
      <c r="BA16" s="127">
        <f t="shared" si="9"/>
        <v>340</v>
      </c>
      <c r="BB16" s="127">
        <f t="shared" si="9"/>
        <v>348</v>
      </c>
      <c r="BC16" s="125">
        <f>IF(ISNUMBER(W16),W16," - ")</f>
        <v>27</v>
      </c>
      <c r="BD16" s="126">
        <f t="shared" ref="BD16" si="11">IF(ISNUMBER(BA16/AZ16),BA16/AZ16," - ")</f>
        <v>0.77272727272727271</v>
      </c>
      <c r="BE16" s="127">
        <f t="shared" ref="BE16" si="12">IF(ISNUMBER(BB16/BA16),BB16/BA16, " - ")</f>
        <v>1.0235294117647058</v>
      </c>
      <c r="BF16" s="127">
        <f t="shared" ref="BF16" si="13">IF(ISNUMBER(BC16/BA16),BC16/BA16, " - ")</f>
        <v>7.9411764705882348E-2</v>
      </c>
      <c r="BG16" s="196">
        <f t="shared" si="10"/>
        <v>2.0117647058823529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32</v>
      </c>
      <c r="J17" s="183">
        <v>14</v>
      </c>
      <c r="K17" s="183">
        <v>14</v>
      </c>
      <c r="L17" s="183">
        <v>32</v>
      </c>
      <c r="M17" s="183">
        <v>0</v>
      </c>
      <c r="N17" s="183">
        <v>12</v>
      </c>
      <c r="O17" s="183">
        <v>0</v>
      </c>
      <c r="P17" s="183">
        <v>0</v>
      </c>
      <c r="Q17" s="183">
        <v>0</v>
      </c>
      <c r="R17" s="183">
        <v>0</v>
      </c>
      <c r="S17" s="183">
        <v>5</v>
      </c>
      <c r="T17" s="183">
        <v>23</v>
      </c>
      <c r="U17" s="183">
        <v>14</v>
      </c>
      <c r="V17" s="183">
        <v>14</v>
      </c>
      <c r="W17" s="183">
        <v>1</v>
      </c>
      <c r="X17" s="189">
        <v>14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v>
      </c>
      <c r="AZ17" s="129">
        <f t="shared" si="14"/>
        <v>23</v>
      </c>
      <c r="BA17" s="129">
        <f t="shared" si="14"/>
        <v>14</v>
      </c>
      <c r="BB17" s="129">
        <f t="shared" si="14"/>
        <v>14</v>
      </c>
      <c r="BC17" s="125">
        <f>IF(ISNUMBER(W17),W17," - ")</f>
        <v>1</v>
      </c>
      <c r="BD17" s="126">
        <f>IF(ISNUMBER(BA17/AZ17),BA17/AZ17," - ")</f>
        <v>0.60869565217391308</v>
      </c>
      <c r="BE17" s="127">
        <f>IF(ISNUMBER(BB17/BA17),BB17/BA17, " - ")</f>
        <v>1</v>
      </c>
      <c r="BF17" s="127">
        <f>IF(ISNUMBER(BC17/BA17),BC17/BA17, " - ")</f>
        <v>7.1428571428571425E-2</v>
      </c>
      <c r="BG17" s="196">
        <f>IF(ISNUMBER((AY17+AZ17)/BA17),(AY17+AZ17)/BA17," - ")</f>
        <v>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736</v>
      </c>
      <c r="J18" s="184">
        <f t="shared" si="15"/>
        <v>499</v>
      </c>
      <c r="K18" s="184">
        <f t="shared" si="15"/>
        <v>389</v>
      </c>
      <c r="L18" s="184">
        <f t="shared" si="15"/>
        <v>855</v>
      </c>
      <c r="M18" s="184">
        <f t="shared" si="15"/>
        <v>19</v>
      </c>
      <c r="N18" s="184">
        <f t="shared" si="15"/>
        <v>198</v>
      </c>
      <c r="O18" s="184">
        <f t="shared" si="15"/>
        <v>1</v>
      </c>
      <c r="P18" s="184">
        <f t="shared" si="15"/>
        <v>13</v>
      </c>
      <c r="Q18" s="184">
        <f t="shared" si="15"/>
        <v>3</v>
      </c>
      <c r="R18" s="184">
        <f t="shared" si="15"/>
        <v>56</v>
      </c>
      <c r="S18" s="184">
        <f t="shared" si="15"/>
        <v>249</v>
      </c>
      <c r="T18" s="184">
        <f t="shared" si="15"/>
        <v>463</v>
      </c>
      <c r="U18" s="184">
        <f t="shared" si="15"/>
        <v>354</v>
      </c>
      <c r="V18" s="184">
        <f t="shared" si="15"/>
        <v>362</v>
      </c>
      <c r="W18" s="184">
        <f t="shared" si="15"/>
        <v>28</v>
      </c>
      <c r="X18" s="184">
        <f t="shared" si="15"/>
        <v>208</v>
      </c>
      <c r="Y18" s="184">
        <f t="shared" si="15"/>
        <v>0</v>
      </c>
      <c r="Z18" s="184">
        <f t="shared" si="15"/>
        <v>0</v>
      </c>
      <c r="AA18" s="184">
        <f t="shared" si="15"/>
        <v>0</v>
      </c>
      <c r="AB18" s="184">
        <f t="shared" si="15"/>
        <v>0</v>
      </c>
      <c r="AC18" s="184">
        <f t="shared" si="15"/>
        <v>7</v>
      </c>
      <c r="AD18" s="184">
        <f t="shared" si="15"/>
        <v>7</v>
      </c>
      <c r="AE18" s="184">
        <f t="shared" si="15"/>
        <v>7</v>
      </c>
      <c r="AF18" s="184">
        <f t="shared" si="15"/>
        <v>7</v>
      </c>
      <c r="AG18" s="184">
        <f t="shared" si="15"/>
        <v>0</v>
      </c>
      <c r="AH18" s="184">
        <f t="shared" si="15"/>
        <v>0</v>
      </c>
      <c r="AI18" s="184">
        <f t="shared" si="15"/>
        <v>0</v>
      </c>
      <c r="AJ18" s="184">
        <f t="shared" si="15"/>
        <v>0</v>
      </c>
      <c r="AK18" s="184">
        <f t="shared" si="15"/>
        <v>17</v>
      </c>
      <c r="AL18" s="184">
        <f t="shared" si="15"/>
        <v>1</v>
      </c>
      <c r="AM18" s="184">
        <f t="shared" si="15"/>
        <v>7</v>
      </c>
      <c r="AN18" s="184">
        <f t="shared" si="15"/>
        <v>11</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249</v>
      </c>
      <c r="AZ18" s="184">
        <f>SUBTOTAL(9,AZ14:AZ17)</f>
        <v>463</v>
      </c>
      <c r="BA18" s="184">
        <f>SUBTOTAL(9,BA14:BA17)</f>
        <v>354</v>
      </c>
      <c r="BB18" s="184">
        <f>SUBTOTAL(9,BB14:BB17)</f>
        <v>362</v>
      </c>
      <c r="BC18" s="184">
        <f>SUBTOTAL(9,BC14:BC17)</f>
        <v>28</v>
      </c>
      <c r="BD18" s="205">
        <f>IF(ISNUMBER(BA18/AZ18),BA18/AZ18," - ")</f>
        <v>0.76457883369330448</v>
      </c>
      <c r="BE18" s="206">
        <f>IF(ISNUMBER(BB18/BA18),BB18/BA18, " - ")</f>
        <v>1.0225988700564972</v>
      </c>
      <c r="BF18" s="206">
        <f>IF(ISNUMBER(BC18/BA18),BC18/BA18, " - ")</f>
        <v>7.909604519774012E-2</v>
      </c>
      <c r="BG18" s="207">
        <f>IF(ISNUMBER((AY18+AZ18)/BA18),(AY18+AZ18)/BA18," - ")</f>
        <v>2.0112994350282487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1344</v>
      </c>
      <c r="J19" s="134">
        <f t="shared" si="18"/>
        <v>953</v>
      </c>
      <c r="K19" s="134">
        <f t="shared" si="18"/>
        <v>625</v>
      </c>
      <c r="L19" s="134">
        <f t="shared" si="18"/>
        <v>1688</v>
      </c>
      <c r="M19" s="134">
        <f t="shared" si="18"/>
        <v>98</v>
      </c>
      <c r="N19" s="134">
        <f t="shared" si="18"/>
        <v>320</v>
      </c>
      <c r="O19" s="134">
        <f t="shared" si="18"/>
        <v>65</v>
      </c>
      <c r="P19" s="134">
        <f t="shared" si="18"/>
        <v>115</v>
      </c>
      <c r="Q19" s="134">
        <f t="shared" si="18"/>
        <v>90</v>
      </c>
      <c r="R19" s="134">
        <f t="shared" si="18"/>
        <v>1572</v>
      </c>
      <c r="S19" s="134">
        <f t="shared" si="18"/>
        <v>684</v>
      </c>
      <c r="T19" s="134">
        <f t="shared" si="18"/>
        <v>775</v>
      </c>
      <c r="U19" s="134">
        <f t="shared" si="18"/>
        <v>629</v>
      </c>
      <c r="V19" s="134">
        <f t="shared" si="18"/>
        <v>834</v>
      </c>
      <c r="W19" s="134">
        <f t="shared" si="18"/>
        <v>71</v>
      </c>
      <c r="X19" s="134">
        <f t="shared" si="18"/>
        <v>280</v>
      </c>
      <c r="Y19" s="134">
        <f t="shared" si="18"/>
        <v>69</v>
      </c>
      <c r="Z19" s="134">
        <f t="shared" si="18"/>
        <v>7</v>
      </c>
      <c r="AA19" s="134">
        <f t="shared" si="18"/>
        <v>9</v>
      </c>
      <c r="AB19" s="134">
        <f t="shared" si="18"/>
        <v>67</v>
      </c>
      <c r="AC19" s="134">
        <f t="shared" si="18"/>
        <v>7</v>
      </c>
      <c r="AD19" s="134">
        <f t="shared" si="18"/>
        <v>7</v>
      </c>
      <c r="AE19" s="134">
        <f t="shared" si="18"/>
        <v>7</v>
      </c>
      <c r="AF19" s="134">
        <f t="shared" si="18"/>
        <v>7</v>
      </c>
      <c r="AG19" s="134">
        <f t="shared" si="18"/>
        <v>58</v>
      </c>
      <c r="AH19" s="134">
        <f t="shared" si="18"/>
        <v>11</v>
      </c>
      <c r="AI19" s="134">
        <f t="shared" si="18"/>
        <v>9</v>
      </c>
      <c r="AJ19" s="134">
        <f t="shared" si="18"/>
        <v>60</v>
      </c>
      <c r="AK19" s="134">
        <f t="shared" si="18"/>
        <v>17</v>
      </c>
      <c r="AL19" s="134">
        <f t="shared" si="18"/>
        <v>1</v>
      </c>
      <c r="AM19" s="134">
        <f t="shared" si="18"/>
        <v>7</v>
      </c>
      <c r="AN19" s="210">
        <f t="shared" si="18"/>
        <v>11</v>
      </c>
      <c r="AO19" s="211">
        <v>3</v>
      </c>
      <c r="AP19" s="211">
        <v>2</v>
      </c>
      <c r="AQ19" s="211">
        <v>2</v>
      </c>
      <c r="AR19" s="211">
        <v>2</v>
      </c>
      <c r="AS19" s="153">
        <f t="shared" si="18"/>
        <v>0</v>
      </c>
      <c r="AT19" s="153">
        <f t="shared" si="18"/>
        <v>0</v>
      </c>
      <c r="AU19" s="211"/>
      <c r="AV19" s="212"/>
      <c r="AW19" s="211"/>
      <c r="AX19" s="212"/>
      <c r="AY19" s="133">
        <f>SUBTOTAL(9,AY9:AY18)</f>
        <v>742</v>
      </c>
      <c r="AZ19" s="134">
        <f>SUBTOTAL(9,AZ9:AZ18)</f>
        <v>786</v>
      </c>
      <c r="BA19" s="134">
        <f>SUBTOTAL(9,BA9:BA18)</f>
        <v>638</v>
      </c>
      <c r="BB19" s="134">
        <f>SUBTOTAL(9,BB9:BB18)</f>
        <v>894</v>
      </c>
      <c r="BC19" s="135">
        <f>SUBTOTAL(9,BC9:BC18)</f>
        <v>100</v>
      </c>
      <c r="BD19" s="213">
        <f>IF(ISNUMBER(BA19/AZ19),BA19/AZ19," - ")</f>
        <v>0.81170483460559795</v>
      </c>
      <c r="BE19" s="210">
        <f>IF(ISNUMBER(BB19/BA19),BB19/BA19, " - ")</f>
        <v>1.4012539184952979</v>
      </c>
      <c r="BF19" s="210">
        <f>IF(ISNUMBER(BC19/BA19),BC19/BA19, " - ")</f>
        <v>0.15673981191222572</v>
      </c>
      <c r="BG19" s="135">
        <f>IF(ISNUMBER((AY19+AZ19)/BA19),(AY19+AZ19)/BA19," - ")</f>
        <v>2.3949843260188088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lFBB5rRbDE9DjjfiNOBODuNmlyo1t7gS92FvcHYTgwe1P5w9PkQEpT+Ykofl16bzjHWoheVOZu6x47vO+2U7w==" saltValue="xgoEkhZEBdlNpXf85Rb8B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8W8298m+97LxXX3bWSNfSaJopY4owVVeDbByDKFW0Fb3NIlt0c84x9jOqu6btwRsWwgl3eB0Kiv2vnMZJPihg==" saltValue="++UkhLTSxJz81u4GMd3WG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ARAGON</v>
      </c>
    </row>
    <row r="2" spans="1:74" ht="16.5" customHeight="1">
      <c r="C2" s="488" t="str">
        <f>Criterios!A10 &amp;"  "&amp;Criterios!B10 &amp; "  " &amp; IF(NOT(ISBLANK(Criterios!A11)),Criterios!A11 &amp;"  "&amp;Criterios!B11,"")</f>
        <v>Provincias  ZARAGOZA  Resumenes por Partidos Judiciales  EJEA DE LOS CABALLEROS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v>
      </c>
      <c r="O12" s="334"/>
      <c r="P12" s="334"/>
      <c r="Q12" s="226">
        <f>IF(ISNUMBER(Datos!P12),Datos!P12,0)</f>
        <v>102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67</v>
      </c>
      <c r="AI12" s="334" t="str">
        <f>IF(ISNUMBER(Datos!CD12),Datos!CD12,"-")</f>
        <v>-</v>
      </c>
      <c r="AJ12" s="334" t="str">
        <f>IF(ISNUMBER(Datos!EN12),Datos!EN12," - ")</f>
        <v xml:space="preserve"> - </v>
      </c>
      <c r="AK12" s="334"/>
      <c r="AL12" s="479"/>
      <c r="AM12" s="335">
        <f>IF(ISNUMBER(Datos!R12),Datos!R12," - ")</f>
        <v>1516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79</v>
      </c>
      <c r="BD12" s="229">
        <f>IF(ISNUMBER(Datos!N12),Datos!N12," - ")</f>
        <v>122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0.53145336225596529</v>
      </c>
      <c r="BH12" s="260">
        <f>IF(ISNUMBER(((IF(J_V="SI",Datos!L12/Datos!K12,(Datos!L12+Datos!AB12)/(Datos!K12+Datos!AA12)))*11)/factor_trimestre),((IF(J_V="SI",Datos!L12/Datos!K12,(Datos!L12+Datos!AB12)/(Datos!K12+Datos!AA12)))*11)/factor_trimestre," - ")</f>
        <v>11.020408163265307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9.9933377748167886E-3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7</v>
      </c>
      <c r="O13" s="900">
        <f t="shared" si="0"/>
        <v>0</v>
      </c>
      <c r="P13" s="900">
        <f t="shared" si="0"/>
        <v>0</v>
      </c>
      <c r="Q13" s="899">
        <f t="shared" si="0"/>
        <v>102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87</v>
      </c>
      <c r="AD13" s="899">
        <f t="shared" si="1"/>
        <v>0</v>
      </c>
      <c r="AE13" s="899">
        <f t="shared" si="1"/>
        <v>0</v>
      </c>
      <c r="AF13" s="899">
        <f t="shared" si="1"/>
        <v>0</v>
      </c>
      <c r="AG13" s="899">
        <f t="shared" si="1"/>
        <v>0</v>
      </c>
      <c r="AH13" s="899">
        <f t="shared" si="1"/>
        <v>67</v>
      </c>
      <c r="AI13" s="899">
        <f t="shared" si="1"/>
        <v>0</v>
      </c>
      <c r="AJ13" s="899">
        <f t="shared" si="1"/>
        <v>0</v>
      </c>
      <c r="AK13" s="899">
        <f t="shared" si="1"/>
        <v>0</v>
      </c>
      <c r="AL13" s="899">
        <f t="shared" si="1"/>
        <v>0</v>
      </c>
      <c r="AM13" s="899">
        <f t="shared" si="1"/>
        <v>1516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79</v>
      </c>
      <c r="BD13" s="899">
        <f t="shared" si="1"/>
        <v>122</v>
      </c>
      <c r="BE13" s="899">
        <f t="shared" si="1"/>
        <v>0</v>
      </c>
      <c r="BF13" s="899">
        <f t="shared" si="1"/>
        <v>0</v>
      </c>
      <c r="BG13" s="899">
        <f>IF(ISNUMBER(Datos!K13/Datos!J13),Datos!K13/Datos!J13," - ")</f>
        <v>0.51982378854625555</v>
      </c>
      <c r="BH13" s="903">
        <f>IF(ISNUMBER(((Datos!L13/Datos!K13)*11)/factor_trimestre),((Datos!L13/Datos!K13)*11)/factor_trimestre," - ")</f>
        <v>10.588983050847459</v>
      </c>
      <c r="BI13" s="899">
        <f>IF(ISNUMBER('Resol  Asuntos'!D13/NºAsuntos!G13),'Resol  Asuntos'!D13/NºAsuntos!G13," - ")</f>
        <v>0.32244897959183672</v>
      </c>
      <c r="BJ13" s="899" t="str">
        <f>IF(ISNUMBER(Datos!CI13/Datos!CJ13),Datos!CI13/Datos!CJ13," - ")</f>
        <v xml:space="preserve"> - </v>
      </c>
      <c r="BK13" s="899">
        <f>SUBTOTAL(9,BK8:BK12)</f>
        <v>0</v>
      </c>
      <c r="BL13" s="899" t="str">
        <f>IF(ISNUMBER((I13-AB13+L13)/(F13)),(I13-AB13+L13)/(F13)," - ")</f>
        <v xml:space="preserve"> - </v>
      </c>
      <c r="BM13" s="904">
        <f>SUBTOTAL(9,BM9:BM12)</f>
        <v>9.9933377748167886E-3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713</v>
      </c>
      <c r="G16" s="598">
        <f>IF(ISNUMBER(IF(D_I="SI",Datos!I16,Datos!I16+Datos!AC16)),IF(D_I="SI",Datos!I16,Datos!I16+Datos!AC16)," - ")</f>
        <v>704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375</v>
      </c>
      <c r="AC16" s="226">
        <f>IF(ISNUMBER(Datos!Q16),Datos!Q16," - ")</f>
        <v>3</v>
      </c>
      <c r="AD16" s="334"/>
      <c r="AE16" s="484"/>
      <c r="AF16" s="596">
        <f>IF(ISNUMBER(IF(D_I="SI",Datos!L16,Datos!L16+Datos!AF16)),IF(D_I="SI",Datos!L16,Datos!L16+Datos!AF16)," - ")</f>
        <v>823</v>
      </c>
      <c r="AG16" s="334"/>
      <c r="AH16" s="334"/>
      <c r="AI16" s="334"/>
      <c r="AJ16" s="334"/>
      <c r="AK16" s="334"/>
      <c r="AL16" s="479"/>
      <c r="AM16" s="335">
        <f>IF(ISNUMBER(Datos!R16),Datos!R16," - ")</f>
        <v>56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19</v>
      </c>
      <c r="BD16" s="229">
        <f>IF(ISNUMBER(Datos!N16),Datos!N16," - ")</f>
        <v>186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0.77319587628865982</v>
      </c>
      <c r="BH16" s="260">
        <f>IF(ISNUMBER(((IF(D_I="SI",Datos!L16/Datos!K16,(Datos!L16+Datos!AF16)/(Datos!K16+Datos!AE16)))*11)/factor_trimestre),((IF(D_I="SI",Datos!L16/Datos!K16,(Datos!L16+Datos!AF16)/(Datos!K16+Datos!AE16)))*11)/factor_trimestre," - ")</f>
        <v>6.5839999999999996</v>
      </c>
      <c r="BI16" s="243">
        <f>IF(ISNUMBER('Resol  Asuntos'!D16/NºAsuntos!G16),'Resol  Asuntos'!D16/NºAsuntos!G16," - ")</f>
        <v>5.0666666666666665E-2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v>
      </c>
      <c r="AC17" s="226">
        <f>IF(ISNUMBER(Datos!Q17),Datos!Q17," - ")</f>
        <v>0</v>
      </c>
      <c r="AD17" s="334"/>
      <c r="AE17" s="484"/>
      <c r="AF17" s="332">
        <f>IF(ISNUMBER(Datos!L17),Datos!L17,"-")</f>
        <v>32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6.8571428571428577</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713</v>
      </c>
      <c r="G18" s="898">
        <f>SUBTOTAL(9,G15:G17)</f>
        <v>736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389</v>
      </c>
      <c r="AC18" s="899">
        <f t="shared" si="4"/>
        <v>3</v>
      </c>
      <c r="AD18" s="899">
        <f t="shared" si="4"/>
        <v>0</v>
      </c>
      <c r="AE18" s="899">
        <f t="shared" si="4"/>
        <v>0</v>
      </c>
      <c r="AF18" s="899">
        <f t="shared" si="4"/>
        <v>855</v>
      </c>
      <c r="AG18" s="899">
        <f t="shared" si="4"/>
        <v>0</v>
      </c>
      <c r="AH18" s="899">
        <f t="shared" si="4"/>
        <v>0</v>
      </c>
      <c r="AI18" s="899">
        <f t="shared" si="4"/>
        <v>0</v>
      </c>
      <c r="AJ18" s="899">
        <f t="shared" si="4"/>
        <v>0</v>
      </c>
      <c r="AK18" s="899">
        <f t="shared" si="4"/>
        <v>0</v>
      </c>
      <c r="AL18" s="899">
        <f t="shared" si="4"/>
        <v>0</v>
      </c>
      <c r="AM18" s="899">
        <f t="shared" si="4"/>
        <v>56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19</v>
      </c>
      <c r="BD18" s="899">
        <f t="shared" si="4"/>
        <v>198</v>
      </c>
      <c r="BE18" s="899">
        <f t="shared" si="4"/>
        <v>0</v>
      </c>
      <c r="BF18" s="899">
        <f t="shared" si="4"/>
        <v>0</v>
      </c>
      <c r="BG18" s="899">
        <f>IF(ISNUMBER(Datos!K18/Datos!J18),Datos!K18/Datos!J18," - ")</f>
        <v>0.77955911823647295</v>
      </c>
      <c r="BH18" s="903">
        <f>IF(ISNUMBER(((Datos!L18/Datos!K18)*11)/factor_trimestre),((Datos!L18/Datos!K18)*11)/factor_trimestre," - ")</f>
        <v>6.5938303341902316</v>
      </c>
      <c r="BI18" s="899">
        <f>SUBTOTAL(9,BI15:BI17)</f>
        <v>5.0666666666666665E-2</v>
      </c>
      <c r="BJ18" s="899">
        <f>SUBTOTAL(9,BJ15:BJ17)</f>
        <v>0</v>
      </c>
      <c r="BK18" s="899">
        <f>SUBTOTAL(9,BK15:BK17)</f>
        <v>0</v>
      </c>
      <c r="BL18" s="899">
        <f>IF(ISNUMBER((I18-AB18+L18)/(F18)),(I18-AB18+L18)/(F18)," - ")</f>
        <v>-0.54558204768583451</v>
      </c>
      <c r="BM18" s="905">
        <f>IF(ISNUMBER((Datos!P18-Datos!Q18)/(Datos!R18-Datos!P18+Datos!Q18)),(Datos!P18-Datos!Q18)/(Datos!R18-Datos!P18+Datos!Q18)," - ")</f>
        <v>0.21739130434782608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713</v>
      </c>
      <c r="G19" s="820">
        <f t="shared" si="6"/>
        <v>736</v>
      </c>
      <c r="H19" s="822">
        <f t="shared" si="6"/>
        <v>0</v>
      </c>
      <c r="I19" s="820">
        <f t="shared" si="6"/>
        <v>0</v>
      </c>
      <c r="J19" s="822">
        <f t="shared" si="6"/>
        <v>0</v>
      </c>
      <c r="K19" s="822">
        <f t="shared" si="6"/>
        <v>0</v>
      </c>
      <c r="L19" s="881">
        <f t="shared" si="6"/>
        <v>0</v>
      </c>
      <c r="M19" s="881">
        <f t="shared" si="6"/>
        <v>0</v>
      </c>
      <c r="N19" s="881">
        <f t="shared" si="6"/>
        <v>7</v>
      </c>
      <c r="O19" s="881">
        <f t="shared" si="6"/>
        <v>0</v>
      </c>
      <c r="P19" s="881">
        <f t="shared" si="6"/>
        <v>0</v>
      </c>
      <c r="Q19" s="822">
        <f t="shared" si="6"/>
        <v>115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389</v>
      </c>
      <c r="AC19" s="821">
        <f t="shared" si="7"/>
        <v>90</v>
      </c>
      <c r="AD19" s="821">
        <f t="shared" si="7"/>
        <v>0</v>
      </c>
      <c r="AE19" s="821">
        <f t="shared" si="7"/>
        <v>0</v>
      </c>
      <c r="AF19" s="828">
        <f t="shared" si="7"/>
        <v>855</v>
      </c>
      <c r="AG19" s="828">
        <f t="shared" si="7"/>
        <v>0</v>
      </c>
      <c r="AH19" s="828">
        <f t="shared" si="7"/>
        <v>67</v>
      </c>
      <c r="AI19" s="828">
        <f t="shared" si="7"/>
        <v>0</v>
      </c>
      <c r="AJ19" s="821">
        <f t="shared" si="7"/>
        <v>0</v>
      </c>
      <c r="AK19" s="828">
        <f t="shared" si="7"/>
        <v>0</v>
      </c>
      <c r="AL19" s="828">
        <f t="shared" si="7"/>
        <v>0</v>
      </c>
      <c r="AM19" s="828">
        <f t="shared" si="7"/>
        <v>1572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98</v>
      </c>
      <c r="BD19" s="820">
        <f t="shared" si="7"/>
        <v>320</v>
      </c>
      <c r="BE19" s="820">
        <f t="shared" si="7"/>
        <v>0</v>
      </c>
      <c r="BF19" s="830">
        <f t="shared" si="7"/>
        <v>0</v>
      </c>
      <c r="BG19" s="915">
        <f>IF(ISNUMBER(Datos!K19/Datos!J19),Datos!K19/Datos!J19," - ")</f>
        <v>0.65582371458551936</v>
      </c>
      <c r="BH19" s="915">
        <f>IF(ISNUMBER(((Datos!L19/Datos!K19)*11)/factor_trimestre),((Datos!L19/Datos!K19)*11)/factor_trimestre," - ")</f>
        <v>8.1024000000000012</v>
      </c>
      <c r="BI19" s="813">
        <f>IF(ISNUMBER(Datos!J19/Datos!I19),Datos!J19/Datos!I19," - ")</f>
        <v>0.70907738095238093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-0.54558204768583451</v>
      </c>
      <c r="BM19" s="889">
        <f>IF(ISNUMBER((Datos!P19-Datos!Q19+R19)/(Datos!R19-Datos!P19+Datos!Q19-R19)),(Datos!P19-Datos!Q19+R19)/(Datos!R19-Datos!P19+Datos!Q19-R19)," - ")</f>
        <v>1.6160310277957338E-2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294.39999999999998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411.65074193220318</v>
      </c>
      <c r="G21" s="552">
        <f>IF(ISNUMBER(STDEV(G8:G18)),STDEV(G8:G18),"-")</f>
        <v>388.90204422193511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206.81223368069888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36.881793159588469</v>
      </c>
      <c r="BD21" s="551"/>
      <c r="BE21" s="551">
        <f>IF(ISNUMBER(STDEV(BE8:BE18)),STDEV(BE8:BE18),"-")</f>
        <v>0</v>
      </c>
      <c r="BF21" s="556">
        <f>IF(ISNUMBER(STDEV(BF8:BF18)),STDEV(BF8:BF18),"-")</f>
        <v>0</v>
      </c>
      <c r="BG21" s="775">
        <f>IF(ISNUMBER(STDEV(BG8:BG18)),STDEV(BG8:BG18),"-")</f>
        <v>0.20024621620432143</v>
      </c>
      <c r="BH21" s="776">
        <f>IF(ISNUMBER(STDEV(BH8:BH18)),STDEV(BH8:BH18),"-")</f>
        <v>2.2678956892204467</v>
      </c>
      <c r="BI21" s="249">
        <f>IF(ISNUMBER(STDEV(BI8:BI18)),STDEV(BI8:BI18),"-")</f>
        <v>0.14629844436970532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XSwplK6JaW1jN7N/rX3PCu/dTguS4PqzrFx64sadAQMLREK3JqpDqw0rsIkDeZFjytsJWRTlD2FOES6qC3539Q==" saltValue="NyT+akUmAGPVssiaBY5Ph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ARAGON</v>
      </c>
    </row>
    <row r="2" spans="1:73" ht="16.5" customHeight="1">
      <c r="C2" s="528" t="str">
        <f>Criterios!A10 &amp;"  "&amp;Criterios!B10 &amp; "  " &amp; IF(NOT(ISBLANK(Criterios!A11)),Criterios!A11 &amp;"  "&amp;Criterios!B11,"")</f>
        <v>Provincias  ZARAGOZA  Resumenes por Partidos Judiciales  EJEA DE LOS CABALLEROS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87</v>
      </c>
      <c r="AA12" s="332" t="str">
        <f>IF(ISNUMBER(IF(J_V="SI",Datos!L12,Datos!L12+Datos!AB12)-IF(Monitorios="SI",Datos!CD12,0)),
                          IF(J_V="SI",Datos!L12,Datos!L12+Datos!AB12)-IF(Monitorios="SI",Datos!CD12,0),
                          " - ")</f>
        <v xml:space="preserve"> - </v>
      </c>
      <c r="AB12" s="334"/>
      <c r="AC12" s="334"/>
      <c r="AD12" s="484"/>
      <c r="AE12" s="484">
        <f>IF(ISNUMBER(Datos!R12),Datos!R12," - ")</f>
        <v>1516</v>
      </c>
      <c r="AF12" s="229" t="str">
        <f>IF(ISNUMBER(Datos!BV12),Datos!BV12," - ")</f>
        <v xml:space="preserve"> - </v>
      </c>
      <c r="AG12" s="225" t="str">
        <f>IF(ISNUMBER(Datos!DV12),Datos!DV12," - ")</f>
        <v xml:space="preserve"> - </v>
      </c>
      <c r="AH12" s="298"/>
      <c r="AI12" s="227"/>
      <c r="AJ12" s="225">
        <f>IF(ISNUMBER(Datos!M12),Datos!M12," - ")</f>
        <v>79</v>
      </c>
      <c r="AK12" s="229">
        <f>IF(ISNUMBER(Datos!N12),Datos!N12," - ")</f>
        <v>122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11.020408163265307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9.9933377748167886E-3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102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87</v>
      </c>
      <c r="AA13" s="900">
        <f t="shared" si="2"/>
        <v>0</v>
      </c>
      <c r="AB13" s="900">
        <f t="shared" si="2"/>
        <v>0</v>
      </c>
      <c r="AC13" s="900">
        <f t="shared" si="2"/>
        <v>0</v>
      </c>
      <c r="AD13" s="900">
        <f t="shared" si="2"/>
        <v>0</v>
      </c>
      <c r="AE13" s="900">
        <f t="shared" si="2"/>
        <v>1516</v>
      </c>
      <c r="AF13" s="908">
        <f t="shared" si="2"/>
        <v>0</v>
      </c>
      <c r="AG13" s="908">
        <f t="shared" si="2"/>
        <v>0</v>
      </c>
      <c r="AH13" s="908">
        <f t="shared" si="2"/>
        <v>0</v>
      </c>
      <c r="AI13" s="908">
        <f t="shared" si="2"/>
        <v>0</v>
      </c>
      <c r="AJ13" s="908">
        <f t="shared" si="2"/>
        <v>79</v>
      </c>
      <c r="AK13" s="908">
        <f t="shared" si="2"/>
        <v>122</v>
      </c>
      <c r="AL13" s="908">
        <f t="shared" si="2"/>
        <v>0</v>
      </c>
      <c r="AM13" s="908">
        <f t="shared" si="2"/>
        <v>0</v>
      </c>
      <c r="AN13" s="908">
        <f t="shared" si="2"/>
        <v>0</v>
      </c>
      <c r="AO13" s="904">
        <f>IF(ISNUMBER(((NºAsuntos!I13/NºAsuntos!G13)*11)/factor_trimestre),((NºAsuntos!I13/NºAsuntos!G13)*11)/factor_trimestre," - ")</f>
        <v>11.020408163265307</v>
      </c>
      <c r="AP13" s="910" t="str">
        <f>IF(ISNUMBER(Datos!CI13/Datos!CJ13),Datos!CI13/Datos!CJ13," - ")</f>
        <v xml:space="preserve"> - </v>
      </c>
      <c r="AQ13" s="928">
        <f t="shared" ref="AQ13:AV13" si="3">SUBTOTAL(9,AQ9:AQ12)</f>
        <v>0</v>
      </c>
      <c r="AR13" s="928">
        <f t="shared" si="3"/>
        <v>9.9933377748167886E-3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713</v>
      </c>
      <c r="G16" s="225">
        <f>IF(ISNUMBER(IF(D_I="SI",Datos!I16,Datos!I16+Datos!AC16)),IF(D_I="SI",Datos!I16,Datos!I16+Datos!AC16)," - ")</f>
        <v>704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375</v>
      </c>
      <c r="Z16" s="619">
        <f>IF(ISNUMBER(Datos!Q16),Datos!Q16," - ")</f>
        <v>3</v>
      </c>
      <c r="AA16" s="332">
        <f>IF(ISNUMBER(IF(D_I="SI",Datos!L16,Datos!L16+Datos!AF16)),IF(D_I="SI",Datos!L16,Datos!L16+Datos!AF16)," - ")</f>
        <v>823</v>
      </c>
      <c r="AB16" s="334"/>
      <c r="AC16" s="334"/>
      <c r="AD16" s="484"/>
      <c r="AE16" s="484">
        <f>IF(ISNUMBER(Datos!R16),Datos!R16," - ")</f>
        <v>56</v>
      </c>
      <c r="AF16" s="229" t="str">
        <f>IF(ISNUMBER(Datos!BV16),Datos!BV16," - ")</f>
        <v xml:space="preserve"> - </v>
      </c>
      <c r="AG16" s="225"/>
      <c r="AH16" s="298"/>
      <c r="AI16" s="227"/>
      <c r="AJ16" s="225">
        <f>IF(ISNUMBER(Datos!M16),Datos!M16," - ")</f>
        <v>19</v>
      </c>
      <c r="AK16" s="229">
        <f>IF(ISNUMBER(Datos!N16),Datos!N16," - ")</f>
        <v>186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6.5839999999999996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v>
      </c>
      <c r="Z17" s="619">
        <f>IF(ISNUMBER(Datos!Q17),Datos!Q17," - ")</f>
        <v>0</v>
      </c>
      <c r="AA17" s="332">
        <f>IF(ISNUMBER(Datos!L17),Datos!L17,"-")</f>
        <v>32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6.8571428571428577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713</v>
      </c>
      <c r="G18" s="898">
        <f>SUBTOTAL(9,G15:G17)</f>
        <v>736</v>
      </c>
      <c r="H18" s="932">
        <f>SUBTOTAL(9,H15:H17)</f>
        <v>0</v>
      </c>
      <c r="I18" s="911">
        <f>SUBTOTAL(9,I15:I17)</f>
        <v>0</v>
      </c>
      <c r="J18" s="867">
        <f>SUBTOTAL(9,J14:J17)</f>
        <v>0</v>
      </c>
      <c r="K18" s="932">
        <f t="shared" ref="K18:S18" si="4">SUBTOTAL(9,K15:K17)</f>
        <v>0</v>
      </c>
      <c r="L18" s="932">
        <f t="shared" si="4"/>
        <v>0</v>
      </c>
      <c r="M18" s="932">
        <f t="shared" si="4"/>
        <v>0</v>
      </c>
      <c r="N18" s="932">
        <f t="shared" si="4"/>
        <v>13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389</v>
      </c>
      <c r="Z18" s="932">
        <f t="shared" si="5"/>
        <v>3</v>
      </c>
      <c r="AA18" s="932">
        <f t="shared" si="5"/>
        <v>855</v>
      </c>
      <c r="AB18" s="932">
        <f t="shared" si="5"/>
        <v>0</v>
      </c>
      <c r="AC18" s="932">
        <f t="shared" si="5"/>
        <v>0</v>
      </c>
      <c r="AD18" s="932">
        <f t="shared" si="5"/>
        <v>0</v>
      </c>
      <c r="AE18" s="932">
        <f t="shared" si="5"/>
        <v>56</v>
      </c>
      <c r="AF18" s="932">
        <f t="shared" si="5"/>
        <v>0</v>
      </c>
      <c r="AG18" s="932">
        <f t="shared" si="5"/>
        <v>0</v>
      </c>
      <c r="AH18" s="932">
        <f t="shared" si="5"/>
        <v>0</v>
      </c>
      <c r="AI18" s="932">
        <f t="shared" si="5"/>
        <v>0</v>
      </c>
      <c r="AJ18" s="932">
        <f t="shared" si="5"/>
        <v>19</v>
      </c>
      <c r="AK18" s="932">
        <f t="shared" si="5"/>
        <v>198</v>
      </c>
      <c r="AL18" s="932">
        <f t="shared" si="5"/>
        <v>0</v>
      </c>
      <c r="AM18" s="932">
        <f t="shared" si="5"/>
        <v>0</v>
      </c>
      <c r="AN18" s="932">
        <f t="shared" si="5"/>
        <v>0</v>
      </c>
      <c r="AO18" s="934">
        <f>IF(ISNUMBER(((NºAsuntos!I18/NºAsuntos!G18)*11)/factor_trimestre),((NºAsuntos!I18/NºAsuntos!G18)*11)/factor_trimestre," - ")</f>
        <v>6.5938303341902316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713</v>
      </c>
      <c r="G19" s="820">
        <f t="shared" si="7"/>
        <v>736</v>
      </c>
      <c r="H19" s="821">
        <f t="shared" si="7"/>
        <v>0</v>
      </c>
      <c r="I19" s="820">
        <f t="shared" si="7"/>
        <v>0</v>
      </c>
      <c r="J19" s="822">
        <f t="shared" si="7"/>
        <v>0</v>
      </c>
      <c r="K19" s="820">
        <f t="shared" si="7"/>
        <v>0</v>
      </c>
      <c r="L19" s="823">
        <f t="shared" si="7"/>
        <v>0</v>
      </c>
      <c r="M19" s="820">
        <f t="shared" si="7"/>
        <v>0</v>
      </c>
      <c r="N19" s="821">
        <f t="shared" si="7"/>
        <v>115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389</v>
      </c>
      <c r="Z19" s="827">
        <f t="shared" si="8"/>
        <v>90</v>
      </c>
      <c r="AA19" s="828">
        <f t="shared" si="8"/>
        <v>855</v>
      </c>
      <c r="AB19" s="828">
        <f t="shared" si="8"/>
        <v>0</v>
      </c>
      <c r="AC19" s="828">
        <f t="shared" si="8"/>
        <v>0</v>
      </c>
      <c r="AD19" s="829">
        <f t="shared" si="8"/>
        <v>0</v>
      </c>
      <c r="AE19" s="829">
        <f t="shared" si="8"/>
        <v>1572</v>
      </c>
      <c r="AF19" s="830">
        <f t="shared" si="8"/>
        <v>0</v>
      </c>
      <c r="AG19" s="831">
        <f t="shared" si="8"/>
        <v>0</v>
      </c>
      <c r="AH19" s="832">
        <f t="shared" si="8"/>
        <v>0</v>
      </c>
      <c r="AI19" s="830">
        <f t="shared" si="8"/>
        <v>0</v>
      </c>
      <c r="AJ19" s="820">
        <f t="shared" si="8"/>
        <v>98</v>
      </c>
      <c r="AK19" s="820">
        <f t="shared" si="8"/>
        <v>320</v>
      </c>
      <c r="AL19" s="820">
        <f t="shared" si="8"/>
        <v>0</v>
      </c>
      <c r="AM19" s="833">
        <f t="shared" si="8"/>
        <v>0</v>
      </c>
      <c r="AN19" s="823">
        <f>IF(ISNUMBER(Datos!K19/Datos!J19),Datos!K19/Datos!J19," - ")</f>
        <v>0.65582371458551936</v>
      </c>
      <c r="AO19" s="823">
        <f>IF(ISNUMBER(FIND("06",Criterios!A8,1)),(IF(ISNUMBER(((Datos!R19/Datos!Q19)*11)/factor_trimestre),((Datos!R19/Datos!Q19)*11)/factor_trimestre," - ")),(IF(ISNUMBER(((Datos!L19/Datos!K19)*11)/factor_trimestre),((Datos!L19/Datos!K19)*11)/factor_trimestre," - ")))</f>
        <v>8.1024000000000012</v>
      </c>
      <c r="AP19" s="834" t="str">
        <f>IF(ISNUMBER(Datos!CI19/Datos!CJ19),Datos!CI19/Datos!CJ19," - ")</f>
        <v xml:space="preserve"> - </v>
      </c>
      <c r="AQ19" s="834">
        <f>IF(OR(ISNUMBER(FIND("01",Criterios!A8,1)),ISNUMBER(FIND("02",Criterios!A8,1)),ISNUMBER(FIND("03",Criterios!A8,1)),ISNUMBER(FIND("04",Criterios!A8,1))),(J19-Y19+K19)/(F19-K19),(I19-Y19+K19)/(F19-K19))</f>
        <v>-0.54558204768583451</v>
      </c>
      <c r="AR19" s="834">
        <f>IF(ISNUMBER((Datos!P19-Datos!Q19+O19)/(Datos!R19-Datos!P19+Datos!Q19-O19)),(Datos!P19-Datos!Q19+O19)/(Datos!R19-Datos!P19+Datos!Q19-O19)," - ")</f>
        <v>1.6160310277957338E-2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294.39999999999998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411.65074193220318</v>
      </c>
      <c r="G21" s="552">
        <f>IF(ISNUMBER(STDEV(G8:G18)),STDEV(G8:G18),"-")</f>
        <v>388.90204422193511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36.881793159588469</v>
      </c>
      <c r="AK21" s="252"/>
      <c r="AL21" s="252">
        <f>IF(ISNUMBER(STDEV(AL8:AL18)),STDEV(AL8:AL18),"-")</f>
        <v>0</v>
      </c>
      <c r="AM21" s="254">
        <f>IF(ISNUMBER(STDEV(AM8:AM18)),STDEV(AM8:AM18),"-")</f>
        <v>0</v>
      </c>
      <c r="AN21" s="539">
        <f>IF(ISNUMBER(STDEV(AN8:AN18)),STDEV(AN8:AN18),"-")</f>
        <v>0</v>
      </c>
      <c r="AO21" s="540">
        <f>IF(ISNUMBER(STDEV(AO8:AO18)),STDEV(AO8:AO18),"-")</f>
        <v>2.3807793943879005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sU4Fb1jLz9Vgguf2vuXoPxnweanP+Wxh1BWTIrCyQfUU0fY+AujGIROiWHkiuUsbGNlYPCuBhAiVBP0LRPoTaQ==" saltValue="ciEE06weEYcuYNTnGXPAX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f0uUo/i4GKXuet8dRTyHFvzuLKuryR5CHu/N8n4Jgg73jF1CF8xs2lb7QO3z/1GaHfTnqOFym52pVghGXCQRGg==" saltValue="Xx/B3OMScWLNhHhwEmqf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FLTAu1UkxOd0kORTz1wJ6yPg421qgELHaeFfG8xXel97XUDtuWl3fxu66zcjKWhw0dyRIbVqI/Q1rCoVHaF5w==" saltValue="TZKNYBSBIV0R9p+fB2A6M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ARAGON</v>
      </c>
    </row>
    <row r="2" spans="1:75" ht="16.5" customHeight="1">
      <c r="C2" s="488" t="str">
        <f>Criterios!A10 &amp;"  "&amp;Criterios!B10 &amp; "  " &amp; IF(NOT(ISBLANK(Criterios!A11)),Criterios!A11 &amp;"  "&amp;Criterios!B11,"")</f>
        <v>Provincias  ZARAGOZA  Resumenes por Partidos Judiciales  EJEA DE LOS CABALLEROS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0.32244897959183672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0.2280058600560704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Cf8lHHAeV2hD6DjtZG3KqboHpS37lhwwlXLaJ23bGA6EpcMd44QzP7LbdaCmPGNiYB/DMoqrdOhmY4qSzo3zKw==" saltValue="yh9iicuFGNJhO4I4BLrR9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kEgIlIS2ivvXAJOIOtkLEhhVCtYN2A9tFTC2awddQCLLAXE3v3HjwkRd2z33izKtcCIk7v7GgTe6vo39qou2Uw==" saltValue="uWBRik1ZRbgjU6aytOh/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ARAGON</v>
      </c>
      <c r="C2" s="375"/>
      <c r="D2" s="375"/>
      <c r="E2" s="375"/>
      <c r="F2" s="375"/>
    </row>
    <row r="3" spans="1:14" ht="19.5">
      <c r="A3" s="390" t="s">
        <v>115</v>
      </c>
      <c r="B3" s="391" t="str">
        <f>Criterios!A10 &amp;"  "&amp;Criterios!B10</f>
        <v>Provincias  ZARAGOZA</v>
      </c>
      <c r="D3" s="375"/>
      <c r="E3" s="375"/>
      <c r="F3" s="375"/>
    </row>
    <row r="4" spans="1:14" ht="13.5" thickBot="1">
      <c r="A4" s="375"/>
      <c r="B4" s="391" t="str">
        <f>Criterios!A11 &amp;"  "&amp;Criterios!B11</f>
        <v>Resumenes por Partidos Judiciales  EJEA DE LOS CABALLEROS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677</v>
      </c>
      <c r="D12" s="404">
        <f>IF(ISNUMBER(C12/Datos!BH12),C12/Datos!BH12," - ")</f>
        <v>338.5</v>
      </c>
      <c r="E12" s="403">
        <f>IF(ISNUMBER(IF(J_V="SI",Datos!J12,Datos!J12+Datos!Z12)),IF(J_V="SI",Datos!J12,Datos!J12+Datos!Z12)," - ")</f>
        <v>461</v>
      </c>
      <c r="F12" s="404">
        <f>IF(ISNUMBER(E12/B12),E12/B12," - ")</f>
        <v>230.5</v>
      </c>
      <c r="G12" s="403">
        <f>IF(ISNUMBER(IF(J_V="SI",Datos!K12,Datos!K12+Datos!AA12)),IF(J_V="SI",Datos!K12,Datos!K12+Datos!AA12)," - ")</f>
        <v>245</v>
      </c>
      <c r="H12" s="404">
        <f>IF(ISNUMBER(G12/B12),G12/B12," - ")</f>
        <v>122.5</v>
      </c>
      <c r="I12" s="403">
        <f>IF(ISNUMBER(IF(J_V="SI",Datos!L12,Datos!L12+Datos!AB12)),IF(J_V="SI",Datos!L12,Datos!L12+Datos!AB12)," - ")</f>
        <v>900</v>
      </c>
      <c r="J12" s="404">
        <f>IF(ISNUMBER(I12/B12),I12/B12," - ")</f>
        <v>450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677</v>
      </c>
      <c r="D13" s="850" t="str">
        <f>IF(ISNUMBER(C13/Datos!BI13),C13/Datos!BI13," - ")</f>
        <v xml:space="preserve"> - </v>
      </c>
      <c r="E13" s="849">
        <f>SUBTOTAL(9,E8:E12)</f>
        <v>461</v>
      </c>
      <c r="F13" s="850">
        <f>IF(ISNUMBER(E13/B13),E13/B13," - ")</f>
        <v>230.5</v>
      </c>
      <c r="G13" s="849">
        <f>SUBTOTAL(9,G8:G12)</f>
        <v>245</v>
      </c>
      <c r="H13" s="850">
        <f>IF(ISNUMBER(G13/B13),G13/B13," - ")</f>
        <v>122.5</v>
      </c>
      <c r="I13" s="849">
        <f>SUBTOTAL(9,I8:I12)</f>
        <v>900</v>
      </c>
      <c r="J13" s="850">
        <f>IF(ISNUMBER(I13/B13),I13/B13," - ")</f>
        <v>450</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704</v>
      </c>
      <c r="D16" s="404">
        <f>IF(ISNUMBER(C16/Datos!BH16),C16/Datos!BH16," - ")</f>
        <v>352</v>
      </c>
      <c r="E16" s="403">
        <f>IF(ISNUMBER(IF(D_I="SI",Datos!J16,Datos!J16+Datos!AD16)),IF(D_I="SI",Datos!J16,Datos!J16+Datos!AD16)," - ")</f>
        <v>485</v>
      </c>
      <c r="F16" s="404">
        <f>IF(ISNUMBER(E16/B16),E16/B16," - ")</f>
        <v>242.5</v>
      </c>
      <c r="G16" s="403">
        <f>IF(ISNUMBER(IF(D_I="SI",Datos!K16,Datos!K16+Datos!AE16)),IF(D_I="SI",Datos!K16,Datos!K16+Datos!AE16)," - ")</f>
        <v>375</v>
      </c>
      <c r="H16" s="404">
        <f>IF(ISNUMBER(G16/B16),G16/B16," - ")</f>
        <v>187.5</v>
      </c>
      <c r="I16" s="403">
        <f>IF(ISNUMBER(IF(D_I="SI",Datos!L16,Datos!L16+Datos!AF16)),IF(D_I="SI",Datos!L16,Datos!L16+Datos!AF16)," - ")</f>
        <v>823</v>
      </c>
      <c r="J16" s="404">
        <f>IF(ISNUMBER(I16/B16),I16/B16," - ")</f>
        <v>411.5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32</v>
      </c>
      <c r="D17" s="404">
        <f>IF(ISNUMBER(C17/Datos!BH17),C17/Datos!BH17," - ")</f>
        <v>32</v>
      </c>
      <c r="E17" s="403">
        <f>IF(ISNUMBER(IF(D_I="SI",Datos!J17,Datos!J17+Datos!AD17)),IF(D_I="SI",Datos!J17,Datos!J17+Datos!AD17)," - ")</f>
        <v>14</v>
      </c>
      <c r="F17" s="404">
        <f>IF(ISNUMBER(E17/B17),E17/B17," - ")</f>
        <v>14</v>
      </c>
      <c r="G17" s="403">
        <f>IF(ISNUMBER(IF(D_I="SI",Datos!K17,Datos!K17+Datos!AE17)),IF(D_I="SI",Datos!K17,Datos!K17+Datos!AE17)," - ")</f>
        <v>14</v>
      </c>
      <c r="H17" s="404">
        <f>IF(ISNUMBER(G17/B17),G17/B17," - ")</f>
        <v>14</v>
      </c>
      <c r="I17" s="403">
        <f>IF(ISNUMBER(IF(D_I="SI",Datos!L17,Datos!L17+Datos!AF17)),IF(D_I="SI",Datos!L17,Datos!L17+Datos!AF17)," - ")</f>
        <v>32</v>
      </c>
      <c r="J17" s="404">
        <f>IF(ISNUMBER(I17/B17),I17/B17," - ")</f>
        <v>32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736</v>
      </c>
      <c r="D18" s="850" t="str">
        <f>IF(ISNUMBER(C18/Datos!BI18),C18/Datos!BI18," - ")</f>
        <v xml:space="preserve"> - </v>
      </c>
      <c r="E18" s="849">
        <f>SUBTOTAL(9,E14:E17)</f>
        <v>499</v>
      </c>
      <c r="F18" s="850">
        <f>IF(ISNUMBER(E18/B18),E18/B18," - ")</f>
        <v>249.5</v>
      </c>
      <c r="G18" s="849">
        <f>SUBTOTAL(9,G14:G17)</f>
        <v>389</v>
      </c>
      <c r="H18" s="850">
        <f>IF(ISNUMBER(G18/B18),G18/B18," - ")</f>
        <v>194.5</v>
      </c>
      <c r="I18" s="849">
        <f>SUBTOTAL(9,I14:I17)</f>
        <v>855</v>
      </c>
      <c r="J18" s="850">
        <f>IF(ISNUMBER(I18/B18),I18/B18," - ")</f>
        <v>427.5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1413</v>
      </c>
      <c r="D19" s="795" t="str">
        <f>IF(ISNUMBER(C19/Datos!BI19),C19/Datos!BI19," - ")</f>
        <v xml:space="preserve"> - </v>
      </c>
      <c r="E19" s="794">
        <f>SUBTOTAL(9,E9:E18)</f>
        <v>960</v>
      </c>
      <c r="F19" s="795">
        <f>IF(ISNUMBER(E19/B19),E19/B19," - ")</f>
        <v>480</v>
      </c>
      <c r="G19" s="794">
        <f>SUBTOTAL(9,G9:G18)</f>
        <v>634</v>
      </c>
      <c r="H19" s="795">
        <f>IF(ISNUMBER(G19/B19),G19/B19," - ")</f>
        <v>317</v>
      </c>
      <c r="I19" s="794">
        <f>SUBTOTAL(9,I9:I18)</f>
        <v>1755</v>
      </c>
      <c r="J19" s="795">
        <f>IF(ISNUMBER(I19/B19),I19/B19," - ")</f>
        <v>877.5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AtSYDCmVLR9eJeqL4i1Ky/EKjJJeYXxNXDtLNXjmZJXsL5EpC9a4h6FCttWSvFegUscc/0aowx/d9gNVQUIXRQ==" saltValue="VzAsQ0A+2e/wpMvTwUoH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ARAGON</v>
      </c>
      <c r="W1"/>
      <c r="X1"/>
    </row>
    <row r="2" spans="1:65" ht="16.5" customHeight="1">
      <c r="C2" s="488" t="str">
        <f>Criterios!A10 &amp;"  "&amp;Criterios!B10 &amp; "  " &amp; IF(NOT(ISBLANK(Criterios!A11)),Criterios!A11 &amp;"  "&amp;Criterios!B11,"")</f>
        <v>Provincias  ZARAGOZA  Resumenes por Partidos Judiciales  EJEA DE LOS CABALLEROS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1516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79</v>
      </c>
      <c r="AM12" s="690">
        <f>IF(ISNUMBER(Datos!N12+DatosP!N16),Datos!N12+DatosP!N16," - ")</f>
        <v>122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11.020408163265307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9.9933377748167886E-3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102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87</v>
      </c>
      <c r="AE13" s="939">
        <f t="shared" si="1"/>
        <v>0</v>
      </c>
      <c r="AF13" s="939">
        <f t="shared" si="1"/>
        <v>0</v>
      </c>
      <c r="AG13" s="939">
        <f t="shared" si="1"/>
        <v>0</v>
      </c>
      <c r="AH13" s="939">
        <f t="shared" si="1"/>
        <v>1516</v>
      </c>
      <c r="AI13" s="939">
        <f t="shared" si="1"/>
        <v>0</v>
      </c>
      <c r="AJ13" s="939">
        <f t="shared" si="1"/>
        <v>0</v>
      </c>
      <c r="AK13" s="939">
        <f t="shared" si="1"/>
        <v>0</v>
      </c>
      <c r="AL13" s="939">
        <f t="shared" si="1"/>
        <v>79</v>
      </c>
      <c r="AM13" s="939">
        <f t="shared" si="1"/>
        <v>122</v>
      </c>
      <c r="AN13" s="939">
        <f t="shared" si="1"/>
        <v>0</v>
      </c>
      <c r="AO13" s="939">
        <f t="shared" si="1"/>
        <v>0</v>
      </c>
      <c r="AP13" s="944">
        <f>IF(ISNUMBER(((Datos!L13/Datos!K13)*11)/factor_trimestre),((Datos!L13/Datos!K13)*11)/factor_trimestre," - ")</f>
        <v>10.588983050847459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9.9933377748167886E-3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6.5938303341902316</v>
      </c>
      <c r="AQ18" s="944">
        <f>IF(ISNUMBER(((Datos!M18/Datos!L18)*11)/factor_trimestre),((Datos!M18/Datos!L18)*11)/factor_trimestre," - ")</f>
        <v>6.666666666666668E-2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0.21739130434782608</v>
      </c>
      <c r="AW18" s="946">
        <f>IF(ISNUMBER((Datos!Q18-Datos!R18)/(Datos!S18-Datos!Q18+Datos!R18)),(Datos!Q18-Datos!R18)/(Datos!S18-Datos!Q18+Datos!R18)," - ")</f>
        <v>-0.17549668874172186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102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87</v>
      </c>
      <c r="AE19" s="957">
        <f t="shared" si="5"/>
        <v>0</v>
      </c>
      <c r="AF19" s="958">
        <f t="shared" si="5"/>
        <v>0</v>
      </c>
      <c r="AG19" s="958">
        <f t="shared" si="5"/>
        <v>0</v>
      </c>
      <c r="AH19" s="958">
        <f t="shared" si="5"/>
        <v>1516</v>
      </c>
      <c r="AI19" s="958">
        <f t="shared" si="5"/>
        <v>0</v>
      </c>
      <c r="AJ19" s="959">
        <f t="shared" si="5"/>
        <v>0</v>
      </c>
      <c r="AK19" s="959">
        <f t="shared" si="5"/>
        <v>0</v>
      </c>
      <c r="AL19" s="951">
        <f t="shared" si="5"/>
        <v>79</v>
      </c>
      <c r="AM19" s="951">
        <f t="shared" si="5"/>
        <v>122</v>
      </c>
      <c r="AN19" s="951">
        <f t="shared" si="5"/>
        <v>0</v>
      </c>
      <c r="AO19" s="951">
        <f t="shared" si="5"/>
        <v>0</v>
      </c>
      <c r="AP19" s="951">
        <f>IF(ISNUMBER(((Datos!L19/Datos!K19)*11)/factor_trimestre),((Datos!L19/Datos!K19)*11)/factor_trimestre," - ")</f>
        <v>8.1024000000000012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1.6160310277957338E-2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45.610671265980436</v>
      </c>
      <c r="AM21" s="736"/>
      <c r="AN21" s="736">
        <f>IF(ISNUMBER(STDEV(AN8:AN18)),STDEV(AN8:AN18),"-")</f>
        <v>0</v>
      </c>
      <c r="AO21" s="742">
        <f>IF(ISNUMBER(STDEV(AO8:AO18)),STDEV(AO8:AO18),"-")</f>
        <v>0</v>
      </c>
      <c r="AP21" s="779">
        <f>IF(ISNUMBER(STDEV(AP8:AP18)),STDEV(AP8:AP18),"-")</f>
        <v>2.440695397282544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1SVWCtuBuhyTMOdYqIgKWNmR6VR7a91G+SlC+nDbsrYJQPsChY0EL/hcvZkLbV77vt3nLvcVcpJzypfbM63ObA==" saltValue="LNbM9bKSUbfNFUsgwwlIJ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ZARAGOZA</v>
      </c>
      <c r="C3" s="415"/>
      <c r="F3" s="375"/>
      <c r="G3" s="375"/>
      <c r="H3" s="375"/>
    </row>
    <row r="4" spans="1:15" ht="13.5" thickBot="1">
      <c r="A4" s="375"/>
      <c r="B4" s="391" t="str">
        <f>Criterios!A11 &amp;"  "&amp;Criterios!B11</f>
        <v>Resumenes por Partidos Judiciales  EJEA DE LOS CABALLEROS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7ObTHzgPXTRXXefAa4EajjY+KHLnVGm3dmjvfogLPZ6dY4vD9ZLvpxkErDlMS0MsyZkuvwKhckbOBIq9WHno0Q==" saltValue="WIf7SvmnTX8/wgdsx7OZ8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ARAGON</v>
      </c>
      <c r="C2" s="391"/>
    </row>
    <row r="3" spans="1:9" ht="19.5">
      <c r="A3" s="425" t="s">
        <v>11</v>
      </c>
      <c r="B3" s="391" t="str">
        <f>Criterios!A10 &amp;"  "&amp;Criterios!B10</f>
        <v>Provincias  ZARAGOZA</v>
      </c>
      <c r="C3" s="391"/>
      <c r="D3" s="425"/>
    </row>
    <row r="4" spans="1:9" ht="13.5" thickBot="1">
      <c r="B4" s="391" t="str">
        <f>Criterios!A11 &amp;"  "&amp;Criterios!B11</f>
        <v>Resumenes por Partidos Judiciales  EJEA DE LOS CABALLEROS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79</v>
      </c>
      <c r="E12" s="404">
        <f t="shared" si="0"/>
        <v>39.5</v>
      </c>
      <c r="F12" s="403">
        <f>IF(ISNUMBER(Datos!N12),Datos!N12," - ")</f>
        <v>122</v>
      </c>
      <c r="G12" s="404">
        <f t="shared" si="1"/>
        <v>61</v>
      </c>
      <c r="H12" s="403">
        <f>IF(ISNUMBER(Datos!O12),Datos!O12," - ")</f>
        <v>64</v>
      </c>
      <c r="I12" s="404">
        <f t="shared" si="2"/>
        <v>32</v>
      </c>
    </row>
    <row r="13" spans="1:9" ht="14.25" thickTop="1" thickBot="1">
      <c r="A13" s="848" t="str">
        <f>Datos!A13</f>
        <v>TOTAL</v>
      </c>
      <c r="B13" s="849">
        <f>Datos!AO13</f>
        <v>3</v>
      </c>
      <c r="C13" s="851">
        <f>Datos!AR13</f>
        <v>2</v>
      </c>
      <c r="D13" s="849">
        <f>SUBTOTAL(9,D9:D12)</f>
        <v>79</v>
      </c>
      <c r="E13" s="850">
        <f t="shared" si="0"/>
        <v>26.333333333333332</v>
      </c>
      <c r="F13" s="849">
        <f>SUBTOTAL(9,F9:F12)</f>
        <v>122</v>
      </c>
      <c r="G13" s="850">
        <f t="shared" si="1"/>
        <v>40.666666666666664</v>
      </c>
      <c r="H13" s="849">
        <f>SUBTOTAL(9,H9:H12)</f>
        <v>64</v>
      </c>
      <c r="I13" s="850">
        <f>IF(ISNUMBER(H13/B13),H13/B13," - ")</f>
        <v>21.333333333333332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19</v>
      </c>
      <c r="E16" s="404">
        <f t="shared" si="3"/>
        <v>9.5</v>
      </c>
      <c r="F16" s="403">
        <f>IF(ISNUMBER(Datos!N16),Datos!N16," - ")</f>
        <v>186</v>
      </c>
      <c r="G16" s="404">
        <f t="shared" si="4"/>
        <v>93</v>
      </c>
      <c r="H16" s="403">
        <f>IF(ISNUMBER(Datos!O16),Datos!O16," - ")</f>
        <v>1</v>
      </c>
      <c r="I16" s="404">
        <f t="shared" si="5"/>
        <v>0.5</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12</v>
      </c>
      <c r="G17" s="404">
        <f>IF(ISNUMBER(F17/B17),F17/B17," - ")</f>
        <v>12</v>
      </c>
      <c r="H17" s="403">
        <f>IF(ISNUMBER(Datos!O17),Datos!O17," - ")</f>
        <v>0</v>
      </c>
      <c r="I17" s="404">
        <f t="shared" si="5"/>
        <v>0</v>
      </c>
    </row>
    <row r="18" spans="1:9" ht="14.25" thickTop="1" thickBot="1">
      <c r="A18" s="848" t="str">
        <f>Datos!A18</f>
        <v>TOTAL</v>
      </c>
      <c r="B18" s="849">
        <f>Datos!AO18</f>
        <v>3</v>
      </c>
      <c r="C18" s="851">
        <f>Datos!AR18</f>
        <v>2</v>
      </c>
      <c r="D18" s="849">
        <f>SUBTOTAL(9,D15:D17)</f>
        <v>19</v>
      </c>
      <c r="E18" s="850">
        <f t="shared" si="3"/>
        <v>6.333333333333333</v>
      </c>
      <c r="F18" s="849">
        <f>SUBTOTAL(9,F15:F17)</f>
        <v>198</v>
      </c>
      <c r="G18" s="850">
        <f t="shared" si="4"/>
        <v>66</v>
      </c>
      <c r="H18" s="849">
        <f>SUBTOTAL(9,H15:H17)</f>
        <v>1</v>
      </c>
      <c r="I18" s="850">
        <f>IF(ISNUMBER(H18/B18),H18/B18," - ")</f>
        <v>0.33333333333333331</v>
      </c>
    </row>
    <row r="19" spans="1:9" ht="14.25" thickTop="1" thickBot="1">
      <c r="A19" s="793" t="str">
        <f>Datos!A19</f>
        <v>TOTAL JURISDICCIONES</v>
      </c>
      <c r="B19" s="794">
        <f>Datos!AP19</f>
        <v>2</v>
      </c>
      <c r="C19" s="794">
        <f>Datos!AR19</f>
        <v>2</v>
      </c>
      <c r="D19" s="794">
        <f>SUBTOTAL(9,D8:D18)</f>
        <v>98</v>
      </c>
      <c r="E19" s="795">
        <f>IF(ISNUMBER(D19/B19),D19/B19," - ")</f>
        <v>49</v>
      </c>
      <c r="F19" s="794">
        <f>SUBTOTAL(9,F8:F18)</f>
        <v>320</v>
      </c>
      <c r="G19" s="795">
        <f>IF(ISNUMBER(F19/B19),F19/B19," - ")</f>
        <v>160</v>
      </c>
      <c r="H19" s="794">
        <f>SUBTOTAL(9,H8:H18)</f>
        <v>65</v>
      </c>
      <c r="I19" s="795">
        <f>IF(ISNUMBER(H19/B19),H19/B19," - ")</f>
        <v>32.5</v>
      </c>
    </row>
    <row r="22" spans="1:9">
      <c r="A22" s="391" t="str">
        <f>Criterios!A4</f>
        <v>Fecha Informe: 29 may. 2024</v>
      </c>
    </row>
    <row r="27" spans="1:9">
      <c r="A27" s="414"/>
    </row>
  </sheetData>
  <sheetProtection algorithmName="SHA-512" hashValue="ot3vIrKxL08PgOaGIQgs88Cq54sh3zxuEN5X94EQIQLLltH8BLONwz4UmhPlDiieO0qqJUVywMns9jzZ3nhM6g==" saltValue="03G3NihyO6bPtack6lcW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ZARAGOZA</v>
      </c>
    </row>
    <row r="4" spans="1:4" ht="13.5" thickBot="1">
      <c r="B4" s="391" t="str">
        <f>Criterios!A11 &amp;"  "&amp;Criterios!B11</f>
        <v>Resumenes por Partidos Judiciales  EJEA DE LOS CABALLEROS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102</v>
      </c>
      <c r="C12" s="434">
        <f>IF(ISNUMBER(Datos!Q12),Datos!Q12," - ")</f>
        <v>87</v>
      </c>
      <c r="D12" s="408">
        <f>IF(ISNUMBER(Datos!R12),Datos!R12," - ")</f>
        <v>1516</v>
      </c>
    </row>
    <row r="13" spans="1:4" ht="14.25" thickTop="1" thickBot="1">
      <c r="A13" s="848" t="str">
        <f>Datos!A13</f>
        <v>TOTAL</v>
      </c>
      <c r="B13" s="849">
        <f>SUBTOTAL(9,B9:B12)</f>
        <v>102</v>
      </c>
      <c r="C13" s="853">
        <f>SUBTOTAL(9,C9:C12)</f>
        <v>87</v>
      </c>
      <c r="D13" s="851">
        <f>SUBTOTAL(9,D9:D12)</f>
        <v>1516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v>
      </c>
      <c r="C16" s="434">
        <f>IF(ISNUMBER(Datos!Q16),Datos!Q16," - ")</f>
        <v>3</v>
      </c>
      <c r="D16" s="408">
        <f>IF(ISNUMBER(Datos!R16),Datos!R16," - ")</f>
        <v>56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13</v>
      </c>
      <c r="C18" s="853">
        <f>SUBTOTAL(9,C15:C17)</f>
        <v>3</v>
      </c>
      <c r="D18" s="851">
        <f>SUBTOTAL(9,D15:D17)</f>
        <v>56</v>
      </c>
    </row>
    <row r="19" spans="1:4" ht="16.5" customHeight="1" thickTop="1" thickBot="1">
      <c r="A19" s="793" t="str">
        <f>Datos!A19</f>
        <v>TOTAL JURISDICCIONES</v>
      </c>
      <c r="B19" s="798">
        <f>SUBTOTAL(9,B8:B18)</f>
        <v>115</v>
      </c>
      <c r="C19" s="799">
        <f>SUBTOTAL(9,C8:C18)</f>
        <v>90</v>
      </c>
      <c r="D19" s="800">
        <f>SUBTOTAL(9,D8:D18)</f>
        <v>1572</v>
      </c>
    </row>
    <row r="20" spans="1:4" ht="7.5" customHeight="1"/>
    <row r="21" spans="1:4" ht="6" customHeight="1"/>
    <row r="22" spans="1:4">
      <c r="A22" s="391" t="str">
        <f>Criterios!A4</f>
        <v>Fecha Informe: 29 may. 2024</v>
      </c>
    </row>
    <row r="27" spans="1:4">
      <c r="A27" s="414"/>
    </row>
  </sheetData>
  <sheetProtection algorithmName="SHA-512" hashValue="VW830EXHG/Ep8BFH54gUAFZSigtAndVcyAlIHUikVf+B2/m9ZWnC2SYzPq7IP78ejRnasYSQSEX+mOcdZT3eJw==" saltValue="Z9Ay8Bf7G69437SVRlZj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ZARAGOZA</v>
      </c>
    </row>
    <row r="4" spans="1:11" ht="10.5" customHeight="1" thickBot="1">
      <c r="B4" s="391" t="str">
        <f>Criterios!A11 &amp;"  "&amp;Criterios!B11</f>
        <v>Resumenes por Partidos Judiciales  EJEA DE LOS CABALLEROS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0.37322515212981744</v>
      </c>
      <c r="C12" s="456">
        <f>IF(ISNUMBER(
   IF(J_V="SI",(Datos!J12-Datos!T12)/Datos!T12,(Datos!J12+Datos!Z12-(Datos!T12+Datos!AH12))/(Datos!T12+Datos!AH12))
     ),IF(J_V="SI",(Datos!J12-Datos!T12)/Datos!T12,(Datos!J12+Datos!Z12-(Datos!T12+Datos!AH12))/(Datos!T12+Datos!AH12))," - ")</f>
        <v>0.42724458204334365</v>
      </c>
      <c r="D12" s="456">
        <f>IF(ISNUMBER(
   IF(J_V="SI",(Datos!K12-Datos!U12)/Datos!U12,(Datos!K12+Datos!AA12-(Datos!U12+Datos!AI12))/(Datos!U12+Datos!AI12))
     ),IF(J_V="SI",(Datos!K12-Datos!U12)/Datos!U12,(Datos!K12+Datos!AA12-(Datos!U12+Datos!AI12))/(Datos!U12+Datos!AI12))," - ")</f>
        <v>-0.13732394366197184</v>
      </c>
      <c r="E12" s="456">
        <f>IF(ISNUMBER(
   IF(J_V="SI",(Datos!L12-Datos!V12)/Datos!V12,(Datos!L12+Datos!AB12-(Datos!V12+Datos!AJ12))/(Datos!V12+Datos!AJ12))
     ),IF(J_V="SI",(Datos!L12-Datos!V12)/Datos!V12,(Datos!L12+Datos!AB12-(Datos!V12+Datos!AJ12))/(Datos!V12+Datos!AJ12))," - ")</f>
        <v>0.69172932330827064</v>
      </c>
      <c r="F12" s="456">
        <f>IF(ISNUMBER((Datos!M12-Datos!W12)/Datos!W12),(Datos!M12-Datos!W12)/Datos!W12," - ")</f>
        <v>0.83720930232558144</v>
      </c>
      <c r="G12" s="457">
        <f>IF(ISNUMBER((Datos!N12-Datos!X12)/Datos!X12),(Datos!N12-Datos!X12)/Datos!X12," - ")</f>
        <v>0.69444444444444442</v>
      </c>
      <c r="H12" s="455">
        <f>IF(ISNUMBER(((NºAsuntos!G12/NºAsuntos!E12)-Datos!BD12)/Datos!BD12),((NºAsuntos!G12/NºAsuntos!E12)-Datos!BD12)/Datos!BD12," - ")</f>
        <v>-0.39556536616663107</v>
      </c>
      <c r="I12" s="456">
        <f>IF(ISNUMBER(((NºAsuntos!I12/NºAsuntos!G12)-Datos!BE12)/Datos!BE12),((NºAsuntos!I12/NºAsuntos!G12)-Datos!BE12)/Datos!BE12," - ")</f>
        <v>0.96102501150836284</v>
      </c>
      <c r="J12" s="461">
        <f>IF(ISNUMBER((('Resol  Asuntos'!D12/NºAsuntos!G12)-Datos!BF12)/Datos!BF12),(('Resol  Asuntos'!D12/NºAsuntos!G12)-Datos!BF12)/Datos!BF12," - ")</f>
        <v>0.27188208616780041</v>
      </c>
      <c r="K12" s="462">
        <f>IF(ISNUMBER((((NºAsuntos!C12+NºAsuntos!E12)/NºAsuntos!G12)-Datos!BG12)/Datos!BG12),(((NºAsuntos!C12+NºAsuntos!E12)/NºAsuntos!G12)-Datos!BG12)/Datos!BG12," - ")</f>
        <v>0.61660664265706266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0.37322515212981744</v>
      </c>
      <c r="C13" s="855">
        <f>IF(ISNUMBER(
   IF(J_V="SI",(Datos!J13-Datos!T13)/Datos!T13,(Datos!J13+Datos!Z13-(Datos!T13+Datos!AH13))/(Datos!T13+Datos!AH13))
     ),IF(J_V="SI",(Datos!J13-Datos!T13)/Datos!T13,(Datos!J13+Datos!Z13-(Datos!T13+Datos!AH13))/(Datos!T13+Datos!AH13))," - ")</f>
        <v>0.42724458204334365</v>
      </c>
      <c r="D13" s="855">
        <f>IF(ISNUMBER(
   IF(J_V="SI",(Datos!K13-Datos!U13)/Datos!U13,(Datos!K13+Datos!AA13-(Datos!U13+Datos!AI13))/(Datos!U13+Datos!AI13))
     ),IF(J_V="SI",(Datos!K13-Datos!U13)/Datos!U13,(Datos!K13+Datos!AA13-(Datos!U13+Datos!AI13))/(Datos!U13+Datos!AI13))," - ")</f>
        <v>-0.13732394366197184</v>
      </c>
      <c r="E13" s="855">
        <f>IF(ISNUMBER(
   IF(J_V="SI",(Datos!L13-Datos!V13)/Datos!V13,(Datos!L13+Datos!AB13-(Datos!V13+Datos!AJ13))/(Datos!V13+Datos!AJ13))
     ),IF(J_V="SI",(Datos!L13-Datos!V13)/Datos!V13,(Datos!L13+Datos!AB13-(Datos!V13+Datos!AJ13))/(Datos!V13+Datos!AJ13))," - ")</f>
        <v>0.69172932330827064</v>
      </c>
      <c r="F13" s="856">
        <f>IF(ISNUMBER((Datos!M13-Datos!W13)/Datos!W13),(Datos!M13-Datos!W13)/Datos!W13," - ")</f>
        <v>0.83720930232558144</v>
      </c>
      <c r="G13" s="857">
        <f>IF(ISNUMBER((Datos!N13-Datos!X13)/Datos!X13),(Datos!N13-Datos!X13)/Datos!X13," - ")</f>
        <v>0.69444444444444442</v>
      </c>
      <c r="H13" s="857">
        <f>IF(ISNUMBER(((NºAsuntos!G13/NºAsuntos!E13)-Datos!BD13)/Datos!BD13),((NºAsuntos!G13/NºAsuntos!E13)-Datos!BD13)/Datos!BD13," - ")</f>
        <v>-0.39556536616663107</v>
      </c>
      <c r="I13" s="857">
        <f>IF(ISNUMBER(((NºAsuntos!I13/NºAsuntos!G13)-Datos!BE13)/Datos!BE13),((NºAsuntos!I13/NºAsuntos!G13)-Datos!BE13)/Datos!BE13," - ")</f>
        <v>0.96102501150836284</v>
      </c>
      <c r="J13" s="857">
        <f>IF(ISNUMBER((('Resol  Asuntos'!D13/NºAsuntos!G13)-Datos!BF13)/Datos!BF13),(('Resol  Asuntos'!D13/NºAsuntos!G13)-Datos!BF13)/Datos!BF13," - ")</f>
        <v>0.27188208616780041</v>
      </c>
      <c r="K13" s="857">
        <f>IF(ISNUMBER((((NºAsuntos!C13+NºAsuntos!E13)/NºAsuntos!G13)-Datos!BG13)/Datos!BG13),(((NºAsuntos!C13+NºAsuntos!E13)/NºAsuntos!G13)-Datos!BG13)/Datos!BG13," - ")</f>
        <v>0.61660664265706266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1.8852459016393444</v>
      </c>
      <c r="C16" s="456">
        <f>IF(ISNUMBER(
   IF(D_I="SI",(Datos!J16-Datos!T16)/Datos!T16,(Datos!J16+Datos!AD16-(Datos!T16+Datos!AL16))/(Datos!T16+Datos!AL16))
     ),IF(D_I="SI",(Datos!J16-Datos!T16)/Datos!T16,(Datos!J16+Datos!AD16-(Datos!T16+Datos!AL16))/(Datos!T16+Datos!AL16))," - ")</f>
        <v>0.10227272727272728</v>
      </c>
      <c r="D16" s="456">
        <f>IF(ISNUMBER(
   IF(D_I="SI",(Datos!K16-Datos!U16)/Datos!U16,(Datos!K16+Datos!AE16-(Datos!U16+Datos!AM16))/(Datos!U16+Datos!AM16))
     ),IF(D_I="SI",(Datos!K16-Datos!U16)/Datos!U16,(Datos!K16+Datos!AE16-(Datos!U16+Datos!AM16))/(Datos!U16+Datos!AM16))," - ")</f>
        <v>0.10294117647058823</v>
      </c>
      <c r="E16" s="456">
        <f>IF(ISNUMBER(
   IF(D_I="SI",(Datos!L16-Datos!V16)/Datos!V16,(Datos!L16+Datos!AF16-(Datos!V16+Datos!AN16))/(Datos!V16+Datos!AN16))
     ),IF(D_I="SI",(Datos!L16-Datos!V16)/Datos!V16,(Datos!L16+Datos!AF16-(Datos!V16+Datos!AN16))/(Datos!V16+Datos!AN16))," - ")</f>
        <v>1.3649425287356323</v>
      </c>
      <c r="F16" s="456">
        <f>IF(ISNUMBER((Datos!M16-Datos!W16)/Datos!W16),(Datos!M16-Datos!W16)/Datos!W16," - ")</f>
        <v>-0.29629629629629628</v>
      </c>
      <c r="G16" s="457">
        <f>IF(ISNUMBER((Datos!N16-Datos!X16)/Datos!X16),(Datos!N16-Datos!X16)/Datos!X16," - ")</f>
        <v>-4.1237113402061855E-2</v>
      </c>
      <c r="H16" s="455">
        <f>IF(ISNUMBER(((NºAsuntos!G16/NºAsuntos!E16)-Datos!BD16)/Datos!BD16),((NºAsuntos!G16/NºAsuntos!E16)-Datos!BD16)/Datos!BD16," - ")</f>
        <v>6.0642813826567864E-4</v>
      </c>
      <c r="I16" s="456">
        <f>IF(ISNUMBER(((NºAsuntos!I16/NºAsuntos!G16)-Datos!BE16)/Datos!BE16),((NºAsuntos!I16/NºAsuntos!G16)-Datos!BE16)/Datos!BE16," - ")</f>
        <v>1.1442145593869733</v>
      </c>
      <c r="J16" s="461">
        <f>IF(ISNUMBER((('Resol  Asuntos'!D16/NºAsuntos!G16)-Datos!BF16)/Datos!BF16),(('Resol  Asuntos'!D16/NºAsuntos!G16)-Datos!BF16)/Datos!BF16," - ")</f>
        <v>-0.3619753086419753</v>
      </c>
      <c r="K16" s="462">
        <f>IF(ISNUMBER((((NºAsuntos!C16+NºAsuntos!E16)/NºAsuntos!G16)-Datos!BG16)/Datos!BG16),(((NºAsuntos!C16+NºAsuntos!E16)/NºAsuntos!G16)-Datos!BG16)/Datos!BG16," - ")</f>
        <v>0.57606237816764128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5.4</v>
      </c>
      <c r="C17" s="456">
        <f>IF(ISNUMBER(
   IF(D_I="SI",(Datos!J17-Datos!T17)/Datos!T17,(Datos!J17+Datos!AD17-(Datos!T17+Datos!AL17))/(Datos!T17+Datos!AL17))
     ),IF(D_I="SI",(Datos!J17-Datos!T17)/Datos!T17,(Datos!J17+Datos!AD17-(Datos!T17+Datos!AL17))/(Datos!T17+Datos!AL17))," - ")</f>
        <v>-0.39130434782608697</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1.2857142857142858</v>
      </c>
      <c r="F17" s="456">
        <f>IF(ISNUMBER((Datos!M17-Datos!W17)/Datos!W17),(Datos!M17-Datos!W17)/Datos!W17," - ")</f>
        <v>-1</v>
      </c>
      <c r="G17" s="457">
        <f>IF(ISNUMBER((Datos!N17-Datos!X17)/Datos!X17),(Datos!N17-Datos!X17)/Datos!X17," - ")</f>
        <v>-0.14285714285714285</v>
      </c>
      <c r="H17" s="455">
        <f>IF(ISNUMBER(((NºAsuntos!G17/NºAsuntos!E17)-Datos!BD17)/Datos!BD17),((NºAsuntos!G17/NºAsuntos!E17)-Datos!BD17)/Datos!BD17," - ")</f>
        <v>0.64285714285714279</v>
      </c>
      <c r="I17" s="456">
        <f>IF(ISNUMBER(((NºAsuntos!I17/NºAsuntos!G17)-Datos!BE17)/Datos!BE17),((NºAsuntos!I17/NºAsuntos!G17)-Datos!BE17)/Datos!BE17," - ")</f>
        <v>1.2857142857142856</v>
      </c>
      <c r="J17" s="461">
        <f>IF(ISNUMBER((('Resol  Asuntos'!D17/NºAsuntos!G17)-Datos!BF17)/Datos!BF17),(('Resol  Asuntos'!D17/NºAsuntos!G17)-Datos!BF17)/Datos!BF17," - ")</f>
        <v>-1</v>
      </c>
      <c r="K17" s="462">
        <f>IF(ISNUMBER((((NºAsuntos!C17+NºAsuntos!E17)/NºAsuntos!G17)-Datos!BG17)/Datos!BG17),(((NºAsuntos!C17+NºAsuntos!E17)/NºAsuntos!G17)-Datos!BG17)/Datos!BG17," - ")</f>
        <v>0.64285714285714279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1.9558232931726907</v>
      </c>
      <c r="C18" s="855">
        <f>IF(ISNUMBER(
   IF(Criterios!B14="SI",(Datos!J18-Datos!T18)/Datos!T18,(Datos!J18+Datos!AD18-(Datos!T18+Datos!AL18))/(Datos!T18+Datos!AL18))
     ),IF(Criterios!B14="SI",(Datos!J18-Datos!T18)/Datos!T18,(Datos!J18+Datos!AD18-(Datos!T18+Datos!AL18))/(Datos!T18+Datos!AL18))," - ")</f>
        <v>7.775377969762419E-2</v>
      </c>
      <c r="D18" s="855">
        <f>IF(ISNUMBER(
   IF(Criterios!B14="SI",(Datos!K18-Datos!U18)/Datos!U18,(Datos!K18+Datos!AE18-(Datos!U18+Datos!AM18))/(Datos!U18+Datos!AM18))
     ),IF(Criterios!B14="SI",(Datos!K18-Datos!U18)/Datos!U18,(Datos!K18+Datos!AE18-(Datos!U18+Datos!AM18))/(Datos!U18+Datos!AM18))," - ")</f>
        <v>9.8870056497175146E-2</v>
      </c>
      <c r="E18" s="855">
        <f>IF(ISNUMBER(
   IF(Criterios!B14="SI",(Datos!L18-Datos!V18)/Datos!V18,(Datos!L18+Datos!AF18-(Datos!V18+Datos!AN18))/(Datos!V18+Datos!AN18))
     ),IF(Criterios!B14="SI",(Datos!L18-Datos!V18)/Datos!V18,(Datos!L18+Datos!AF18-(Datos!V18+Datos!AN18))/(Datos!V18+Datos!AN18))," - ")</f>
        <v>1.3618784530386741</v>
      </c>
      <c r="F18" s="856">
        <f>IF(ISNUMBER((Datos!M18-Datos!W18)/Datos!W18),(Datos!M18-Datos!W18)/Datos!W18," - ")</f>
        <v>-0.32142857142857145</v>
      </c>
      <c r="G18" s="857">
        <f>IF(ISNUMBER((Datos!N18-Datos!X18)/Datos!X18),(Datos!N18-Datos!X18)/Datos!X18," - ")</f>
        <v>-4.807692307692308E-2</v>
      </c>
      <c r="H18" s="857">
        <f>IF(ISNUMBER(((NºAsuntos!G18/NºAsuntos!E18)-Datos!BD18)/Datos!BD18),((NºAsuntos!G18/NºAsuntos!E18)-Datos!BD18)/Datos!BD18," - ")</f>
        <v>1.9592858032449152E-2</v>
      </c>
      <c r="I18" s="857">
        <f>IF(ISNUMBER(((NºAsuntos!I18/NºAsuntos!G18)-Datos!BE18)/Datos!BE18),((NºAsuntos!I18/NºAsuntos!G18)-Datos!BE18)/Datos!BE18," - ")</f>
        <v>1.1493701089349373</v>
      </c>
      <c r="J18" s="857">
        <f>IF(ISNUMBER((('Resol  Asuntos'!D18/NºAsuntos!G18)-Datos!BF18)/Datos!BF18),(('Resol  Asuntos'!D18/NºAsuntos!G18)-Datos!BF18)/Datos!BF18," - ")</f>
        <v>-0.382482556004407</v>
      </c>
      <c r="K18" s="857">
        <f>IF(ISNUMBER((((NºAsuntos!C18+NºAsuntos!E18)/NºAsuntos!G18)-Datos!BG18)/Datos!BG18),(((NºAsuntos!C18+NºAsuntos!E18)/NºAsuntos!G18)-Datos!BG18)/Datos!BG18," - ")</f>
        <v>0.57848560122469006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0.90431266846361191</v>
      </c>
      <c r="C19" s="802">
        <f>IF(ISNUMBER(
   IF(J_V="SI",(Datos!J19-Datos!T19)/Datos!T19,(Datos!J19+Datos!Z19-(Datos!T19+Datos!AH19))/(Datos!T19+Datos!AH19))
     ),IF(J_V="SI",(Datos!J19-Datos!T19)/Datos!T19,(Datos!J19+Datos!Z19-(Datos!T19+Datos!AH19))/(Datos!T19+Datos!AH19))," - ")</f>
        <v>0.22137404580152673</v>
      </c>
      <c r="D19" s="802">
        <f>IF(ISNUMBER(
   IF(J_V="SI",(Datos!K19-Datos!U19)/Datos!U19,(Datos!K19+Datos!AA19-(Datos!U19+Datos!AI19))/(Datos!U19+Datos!AI19))
     ),IF(J_V="SI",(Datos!K19-Datos!U19)/Datos!U19,(Datos!K19+Datos!AA19-(Datos!U19+Datos!AI19))/(Datos!U19+Datos!AI19))," - ")</f>
        <v>-6.269592476489028E-3</v>
      </c>
      <c r="E19" s="802">
        <f>IF(ISNUMBER(
   IF(J_V="SI",(Datos!L19-Datos!V19)/Datos!V19,(Datos!L19+Datos!AB19-(Datos!V19+Datos!AJ19))/(Datos!V19+Datos!AJ19))
     ),IF(J_V="SI",(Datos!L19-Datos!V19)/Datos!V19,(Datos!L19+Datos!AB19-(Datos!V19+Datos!AJ19))/(Datos!V19+Datos!AJ19))," - ")</f>
        <v>0.96308724832214765</v>
      </c>
      <c r="F19" s="803">
        <f>IF(ISNUMBER((Datos!M19-Datos!W19)/Datos!W19),(Datos!M19-Datos!W19)/Datos!W19," - ")</f>
        <v>0.38028169014084506</v>
      </c>
      <c r="G19" s="804">
        <f>IF(ISNUMBER((Datos!N19-Datos!X19)/Datos!X19),(Datos!N19-Datos!X19)/Datos!X19," - ")</f>
        <v>0.14285714285714285</v>
      </c>
      <c r="H19" s="805">
        <f>IF(ISNUMBER((Tasas!B19-Datos!BD19)/Datos!BD19),(Tasas!B19-Datos!BD19)/Datos!BD19," - ")</f>
        <v>-0.1863832288401254</v>
      </c>
      <c r="I19" s="806">
        <f>IF(ISNUMBER((Tasas!C19-Datos!BE19)/Datos!BE19),(Tasas!C19-Datos!BE19)/Datos!BE19," - ")</f>
        <v>0.97547265682891193</v>
      </c>
      <c r="J19" s="807">
        <f>IF(ISNUMBER((Tasas!D19-Datos!BF19)/Datos!BF19),(Tasas!D19-Datos!BF19)/Datos!BF19," - ")</f>
        <v>-1.3817034700315473E-2</v>
      </c>
      <c r="K19" s="807">
        <f>IF(ISNUMBER((Tasas!E19-Datos!BG19)/Datos!BG19),(Tasas!E19-Datos!BG19)/Datos!BG19," - ")</f>
        <v>0.56280864452408863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exhbUo1Rsgu7EqE5MdwLZ1EnN3k5b82V/yimytluIv1RrljdOdg1oOXBASixcdcNSt1MzaqdM+fFMpYe1cElpw==" saltValue="bmowS0PJ0elVgWk0pZs7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ZARAGOZA</v>
      </c>
    </row>
    <row r="4" spans="1:7" ht="11.25" customHeight="1" thickBot="1">
      <c r="B4" s="391" t="str">
        <f>Criterios!A11 &amp;"  "&amp;Criterios!B11</f>
        <v>Resumenes por Partidos Judiciales  EJEA DE LOS CABALLEROS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0.53145336225596529</v>
      </c>
      <c r="C12" s="443">
        <f>IF(ISNUMBER(NºAsuntos!I12/NºAsuntos!G12),NºAsuntos!I12/NºAsuntos!G12," - ")</f>
        <v>3.6734693877551021</v>
      </c>
      <c r="D12" s="444">
        <f>IF(ISNUMBER('Resol  Asuntos'!D12/NºAsuntos!G12),'Resol  Asuntos'!D12/NºAsuntos!G12," - ")</f>
        <v>0.32244897959183672</v>
      </c>
      <c r="E12" s="445">
        <f>IF(ISNUMBER((NºAsuntos!C12+NºAsuntos!E12)/NºAsuntos!G12),(NºAsuntos!C12+NºAsuntos!E12)/NºAsuntos!G12," - ")</f>
        <v>4.6448979591836732</v>
      </c>
      <c r="G12" s="463"/>
    </row>
    <row r="13" spans="1:7" ht="14.25" thickTop="1" thickBot="1">
      <c r="A13" s="848" t="str">
        <f>Datos!A13</f>
        <v>TOTAL</v>
      </c>
      <c r="B13" s="858">
        <f>IF(ISNUMBER(NºAsuntos!G13/NºAsuntos!E13),NºAsuntos!G13/NºAsuntos!E13," - ")</f>
        <v>0.53145336225596529</v>
      </c>
      <c r="C13" s="859">
        <f>IF(ISNUMBER(NºAsuntos!I13/NºAsuntos!G13),NºAsuntos!I13/NºAsuntos!G13," - ")</f>
        <v>3.6734693877551021</v>
      </c>
      <c r="D13" s="860">
        <f>IF(ISNUMBER('Resol  Asuntos'!D13/NºAsuntos!G13),'Resol  Asuntos'!D13/NºAsuntos!G13," - ")</f>
        <v>0.32244897959183672</v>
      </c>
      <c r="E13" s="861">
        <f>IF(ISNUMBER((NºAsuntos!C13+NºAsuntos!E13)/NºAsuntos!G13),(NºAsuntos!C13+NºAsuntos!E13)/NºAsuntos!G13," - ")</f>
        <v>4.6448979591836732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0.77319587628865982</v>
      </c>
      <c r="C16" s="443">
        <f>IF(ISNUMBER(NºAsuntos!I16/NºAsuntos!G16),NºAsuntos!I16/NºAsuntos!G16," - ")</f>
        <v>2.1946666666666665</v>
      </c>
      <c r="D16" s="444">
        <f>IF(ISNUMBER('Resol  Asuntos'!D16/NºAsuntos!G16),'Resol  Asuntos'!D16/NºAsuntos!G16," - ")</f>
        <v>5.0666666666666665E-2</v>
      </c>
      <c r="E16" s="445">
        <f>IF(ISNUMBER((NºAsuntos!C16+NºAsuntos!E16)/NºAsuntos!G16),(NºAsuntos!C16+NºAsuntos!E16)/NºAsuntos!G16," - ")</f>
        <v>3.1706666666666665</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2.2857142857142856</v>
      </c>
      <c r="D17" s="444">
        <f>IF(ISNUMBER('Resol  Asuntos'!D17/NºAsuntos!G17),'Resol  Asuntos'!D17/NºAsuntos!G17," - ")</f>
        <v>0</v>
      </c>
      <c r="E17" s="445">
        <f>IF(ISNUMBER((NºAsuntos!C17+NºAsuntos!E17)/NºAsuntos!G17),(NºAsuntos!C17+NºAsuntos!E17)/NºAsuntos!G17," - ")</f>
        <v>3.2857142857142856</v>
      </c>
      <c r="G17" s="463"/>
    </row>
    <row r="18" spans="1:7" ht="14.25" thickTop="1" thickBot="1">
      <c r="A18" s="848" t="str">
        <f>Datos!A18</f>
        <v>TOTAL</v>
      </c>
      <c r="B18" s="858">
        <f>IF(ISNUMBER(NºAsuntos!G18/NºAsuntos!E18),NºAsuntos!G18/NºAsuntos!E18," - ")</f>
        <v>0.77955911823647295</v>
      </c>
      <c r="C18" s="859">
        <f>IF(ISNUMBER(NºAsuntos!I18/NºAsuntos!G18),NºAsuntos!I18/NºAsuntos!G18," - ")</f>
        <v>2.1979434447300772</v>
      </c>
      <c r="D18" s="862">
        <f>IF(ISNUMBER('Resol  Asuntos'!D18/NºAsuntos!G18),'Resol  Asuntos'!D18/NºAsuntos!G18," - ")</f>
        <v>4.8843187660668377E-2</v>
      </c>
      <c r="E18" s="861">
        <f>IF(ISNUMBER((NºAsuntos!C18+NºAsuntos!E18)/NºAsuntos!G18),(NºAsuntos!C18+NºAsuntos!E18)/NºAsuntos!G18," - ")</f>
        <v>3.1748071979434447</v>
      </c>
      <c r="G18" s="463"/>
    </row>
    <row r="19" spans="1:7" ht="15.75" customHeight="1" thickTop="1" thickBot="1">
      <c r="A19" s="793" t="str">
        <f>Datos!A19</f>
        <v>TOTAL JURISDICCIONES</v>
      </c>
      <c r="B19" s="808">
        <f>IF(ISNUMBER(NºAsuntos!G19/NºAsuntos!E19),NºAsuntos!G19/NºAsuntos!E19," - ")</f>
        <v>0.66041666666666665</v>
      </c>
      <c r="C19" s="809">
        <f>IF(ISNUMBER(NºAsuntos!I19/NºAsuntos!G19),NºAsuntos!I19/NºAsuntos!G19," - ")</f>
        <v>2.7681388012618298</v>
      </c>
      <c r="D19" s="810">
        <f>IF(ISNUMBER('Resol  Asuntos'!D19/NºAsuntos!G19),'Resol  Asuntos'!D19/NºAsuntos!G19," - ")</f>
        <v>0.15457413249211358</v>
      </c>
      <c r="E19" s="811">
        <f>IF(ISNUMBER((NºAsuntos!C19+NºAsuntos!E19)/NºAsuntos!G19),(NºAsuntos!C19+NºAsuntos!E19)/NºAsuntos!G19," - ")</f>
        <v>3.7429022082018926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RV7MOq5olzHfVwKG6+l290uQRvOl7/RRVtz02EIJewh4awRHy1l+xqnMDRtsKJpfd44EWAbSKufPw7ZfncTiw==" saltValue="REHg5t1+rxZsNsiYWhQl3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ZARAGOZA</v>
      </c>
      <c r="N2" s="262" t="str">
        <f>Criterios!A11 &amp;"  "&amp;Criterios!B11</f>
        <v>Resumenes por Partidos Judiciales  EJEA DE LOS CABALLEROS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87</v>
      </c>
      <c r="Y12" s="334">
        <f t="shared" si="0"/>
        <v>87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1516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79</v>
      </c>
      <c r="AJ12" s="229" t="str">
        <f>IF(ISNUMBER(Datos!BW12),Datos!BW12," - ")</f>
        <v xml:space="preserve"> - </v>
      </c>
      <c r="AK12" s="228" t="str">
        <f>IF(ISNUMBER(Datos!BX12),Datos!BX12," - ")</f>
        <v xml:space="preserve"> - </v>
      </c>
      <c r="AL12" s="243">
        <f>IF(ISNUMBER(NºAsuntos!G12/NºAsuntos!E12),NºAsuntos!G12/NºAsuntos!E12," - ")</f>
        <v>0.53145336225596529</v>
      </c>
      <c r="AM12" s="260">
        <f>IF(ISNUMBER(((NºAsuntos!I12/NºAsuntos!G12)*11)/factor_trimestre),((NºAsuntos!I12/NºAsuntos!G12)*11)/factor_trimestre," - ")</f>
        <v>11.020408163265307</v>
      </c>
      <c r="AN12" s="244">
        <f>IF(ISNUMBER('Resol  Asuntos'!D12/NºAsuntos!G12),'Resol  Asuntos'!D12/NºAsuntos!G12," - ")</f>
        <v>0.32244897959183672</v>
      </c>
      <c r="AO12" s="245">
        <f>IF(ISNUMBER((NºAsuntos!C12+NºAsuntos!E12)/NºAsuntos!G12),(NºAsuntos!C12+NºAsuntos!E12)/NºAsuntos!G12," - ")</f>
        <v>4.6448979591836732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0</v>
      </c>
      <c r="G13" s="866">
        <f t="shared" si="3"/>
        <v>0</v>
      </c>
      <c r="H13" s="865">
        <f t="shared" si="3"/>
        <v>0</v>
      </c>
      <c r="I13" s="867">
        <f t="shared" si="3"/>
        <v>0</v>
      </c>
      <c r="J13" s="867">
        <f t="shared" si="3"/>
        <v>0</v>
      </c>
      <c r="K13" s="867">
        <f t="shared" si="3"/>
        <v>0</v>
      </c>
      <c r="L13" s="867">
        <f t="shared" si="3"/>
        <v>102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87</v>
      </c>
      <c r="Y13" s="868">
        <f t="shared" si="4"/>
        <v>87</v>
      </c>
      <c r="Z13" s="868">
        <f t="shared" si="4"/>
        <v>0</v>
      </c>
      <c r="AA13" s="868">
        <f t="shared" si="4"/>
        <v>0</v>
      </c>
      <c r="AB13" s="868">
        <f t="shared" si="4"/>
        <v>1516</v>
      </c>
      <c r="AC13" s="868">
        <f t="shared" si="4"/>
        <v>0</v>
      </c>
      <c r="AD13" s="868">
        <f t="shared" si="4"/>
        <v>0</v>
      </c>
      <c r="AE13" s="872">
        <f t="shared" si="4"/>
        <v>0</v>
      </c>
      <c r="AF13" s="865">
        <f t="shared" si="4"/>
        <v>0</v>
      </c>
      <c r="AG13" s="873">
        <f t="shared" si="4"/>
        <v>0</v>
      </c>
      <c r="AH13" s="870">
        <f t="shared" si="4"/>
        <v>0</v>
      </c>
      <c r="AI13" s="865">
        <f t="shared" si="4"/>
        <v>79</v>
      </c>
      <c r="AJ13" s="867">
        <f t="shared" si="4"/>
        <v>0</v>
      </c>
      <c r="AK13" s="870">
        <f>SUBTOTAL(9,AK9:AK12)</f>
        <v>0</v>
      </c>
      <c r="AL13" s="874">
        <f>IF(ISNUMBER(NºAsuntos!G13/NºAsuntos!E13),NºAsuntos!G13/NºAsuntos!E13," - ")</f>
        <v>0.53145336225596529</v>
      </c>
      <c r="AM13" s="874">
        <f>IF(ISNUMBER(((NºAsuntos!I13/NºAsuntos!G13)*11)/factor_trimestre),((NºAsuntos!I13/NºAsuntos!G13)*11)/factor_trimestre," - ")</f>
        <v>11.020408163265307</v>
      </c>
      <c r="AN13" s="875">
        <f>IF(ISNUMBER('Resol  Asuntos'!D13/NºAsuntos!G13),'Resol  Asuntos'!D13/NºAsuntos!G13," - ")</f>
        <v>0.32244897959183672</v>
      </c>
      <c r="AO13" s="876">
        <f>IF(ISNUMBER((NºAsuntos!C13+NºAsuntos!E13)/NºAsuntos!G13),(NºAsuntos!C13+NºAsuntos!E13)/NºAsuntos!G13," - ")</f>
        <v>4.6448979591836732</v>
      </c>
      <c r="AP13" s="877" t="str">
        <f t="shared" si="2"/>
        <v xml:space="preserve"> - </v>
      </c>
      <c r="AQ13" s="877" t="str">
        <f>IF(ISNUMBER((H13-W13+K13)/(F13)),(H13-W13+K13)/(F13)," - ")</f>
        <v xml:space="preserve"> - </v>
      </c>
      <c r="AR13" s="878">
        <f>IF(ISNUMBER((Datos!P13-Datos!Q13)/(Datos!R13-Datos!P13+Datos!Q13)),(Datos!P13-Datos!Q13)/(Datos!R13-Datos!P13+Datos!Q13)," - ")</f>
        <v>9.9933377748167886E-3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713</v>
      </c>
      <c r="G16" s="333">
        <f>IF(ISNUMBER(IF(D_I="SI",Datos!I16,Datos!I16+Datos!AC16)),IF(D_I="SI",Datos!I16,Datos!I16+Datos!AC16)," - ")</f>
        <v>704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375</v>
      </c>
      <c r="X16" s="226">
        <f>IF(ISNUMBER(Datos!Q16),Datos!Q16," - ")</f>
        <v>3</v>
      </c>
      <c r="Y16" s="334">
        <f t="shared" ref="Y16:Y17" si="7">SUM(W16:X16)</f>
        <v>378</v>
      </c>
      <c r="Z16" s="335" t="str">
        <f>IF(ISNUMBER(Datos!CC16),Datos!CC16," - ")</f>
        <v xml:space="preserve"> - </v>
      </c>
      <c r="AA16" s="332">
        <f>IF(ISNUMBER(IF(D_I="SI",Datos!L16,Datos!L16+Datos!AF16)),IF(D_I="SI",Datos!L16,Datos!L16+Datos!AF16)," - ")</f>
        <v>823</v>
      </c>
      <c r="AB16" s="334">
        <f>IF(ISNUMBER(Datos!R16),Datos!R16," - ")</f>
        <v>56</v>
      </c>
      <c r="AC16" s="334">
        <f t="shared" si="6"/>
        <v>879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19</v>
      </c>
      <c r="AJ16" s="231" t="str">
        <f>IF(ISNUMBER(Datos!BW16),Datos!BW16," - ")</f>
        <v xml:space="preserve"> - </v>
      </c>
      <c r="AK16" s="232" t="str">
        <f>IF(ISNUMBER(Datos!BX16),Datos!BX16," - ")</f>
        <v xml:space="preserve"> - </v>
      </c>
      <c r="AL16" s="243">
        <f>IF(ISNUMBER(NºAsuntos!G16/NºAsuntos!E16),NºAsuntos!G16/NºAsuntos!E16," - ")</f>
        <v>0.77319587628865982</v>
      </c>
      <c r="AM16" s="260">
        <f>IF(ISNUMBER(((NºAsuntos!I16/NºAsuntos!G16)*11)/factor_trimestre),((NºAsuntos!I16/NºAsuntos!G16)*11)/factor_trimestre," - ")</f>
        <v>6.5839999999999996</v>
      </c>
      <c r="AN16" s="244">
        <f>IF(ISNUMBER('Resol  Asuntos'!D16/NºAsuntos!G16),'Resol  Asuntos'!D16/NºAsuntos!G16," - ")</f>
        <v>5.0666666666666665E-2</v>
      </c>
      <c r="AO16" s="245">
        <f>IF(ISNUMBER((NºAsuntos!C16+NºAsuntos!E16)/NºAsuntos!G16),(NºAsuntos!C16+NºAsuntos!E16)/NºAsuntos!G16," - ")</f>
        <v>3.1706666666666665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v>
      </c>
      <c r="X17" s="226">
        <f>IF(ISNUMBER(Datos!Q17),Datos!Q17," - ")</f>
        <v>0</v>
      </c>
      <c r="Y17" s="334">
        <f t="shared" si="7"/>
        <v>14</v>
      </c>
      <c r="Z17" s="335" t="str">
        <f>IF(ISNUMBER(Datos!CC17),Datos!CC17," - ")</f>
        <v xml:space="preserve"> - </v>
      </c>
      <c r="AA17" s="332">
        <f>IF(ISNUMBER(Datos!L17),Datos!L17,"-")</f>
        <v>32</v>
      </c>
      <c r="AB17" s="334">
        <f>IF(ISNUMBER(Datos!R17),Datos!R17," - ")</f>
        <v>0</v>
      </c>
      <c r="AC17" s="334">
        <f t="shared" si="6"/>
        <v>32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6.8571428571428577</v>
      </c>
      <c r="AN17" s="244">
        <f>IF(ISNUMBER('Resol  Asuntos'!D17/NºAsuntos!G17),'Resol  Asuntos'!D17/NºAsuntos!G17," - ")</f>
        <v>0</v>
      </c>
      <c r="AO17" s="245">
        <f>IF(ISNUMBER((NºAsuntos!C17+NºAsuntos!E17)/NºAsuntos!G17),(NºAsuntos!C17+NºAsuntos!E17)/NºAsuntos!G17," - ")</f>
        <v>3.2857142857142856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713</v>
      </c>
      <c r="G18" s="866">
        <f>SUBTOTAL(9,G15:G17)</f>
        <v>736</v>
      </c>
      <c r="H18" s="865">
        <f t="shared" ref="H18:O18" si="10">SUBTOTAL(9,H14:H17)</f>
        <v>0</v>
      </c>
      <c r="I18" s="867">
        <f t="shared" si="10"/>
        <v>0</v>
      </c>
      <c r="J18" s="867">
        <f t="shared" si="10"/>
        <v>0</v>
      </c>
      <c r="K18" s="867">
        <f t="shared" si="10"/>
        <v>0</v>
      </c>
      <c r="L18" s="867">
        <f t="shared" si="10"/>
        <v>13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389</v>
      </c>
      <c r="X18" s="867">
        <f t="shared" si="11"/>
        <v>3</v>
      </c>
      <c r="Y18" s="868">
        <f t="shared" si="11"/>
        <v>392</v>
      </c>
      <c r="Z18" s="868">
        <f t="shared" si="11"/>
        <v>0</v>
      </c>
      <c r="AA18" s="868">
        <f t="shared" si="11"/>
        <v>855</v>
      </c>
      <c r="AB18" s="868">
        <f t="shared" si="11"/>
        <v>56</v>
      </c>
      <c r="AC18" s="868">
        <f t="shared" si="11"/>
        <v>911</v>
      </c>
      <c r="AD18" s="868">
        <f t="shared" si="11"/>
        <v>0</v>
      </c>
      <c r="AE18" s="872">
        <f t="shared" si="11"/>
        <v>0</v>
      </c>
      <c r="AF18" s="865">
        <f t="shared" si="11"/>
        <v>0</v>
      </c>
      <c r="AG18" s="873">
        <f t="shared" si="11"/>
        <v>0</v>
      </c>
      <c r="AH18" s="870">
        <f t="shared" si="11"/>
        <v>0</v>
      </c>
      <c r="AI18" s="865">
        <f t="shared" si="11"/>
        <v>19</v>
      </c>
      <c r="AJ18" s="867">
        <f t="shared" si="11"/>
        <v>0</v>
      </c>
      <c r="AK18" s="870">
        <f t="shared" si="11"/>
        <v>0</v>
      </c>
      <c r="AL18" s="874">
        <f>IF(ISNUMBER(NºAsuntos!G18/NºAsuntos!E18),NºAsuntos!G18/NºAsuntos!E18," - ")</f>
        <v>0.77955911823647295</v>
      </c>
      <c r="AM18" s="874">
        <f>IF(ISNUMBER(((NºAsuntos!I18/NºAsuntos!G18)*11)/factor_trimestre),((NºAsuntos!I18/NºAsuntos!G18)*11)/factor_trimestre," - ")</f>
        <v>6.5938303341902316</v>
      </c>
      <c r="AN18" s="875">
        <f>IF(ISNUMBER('Resol  Asuntos'!D18/NºAsuntos!G18),'Resol  Asuntos'!D18/NºAsuntos!G18," - ")</f>
        <v>4.8843187660668377E-2</v>
      </c>
      <c r="AO18" s="876">
        <f>IF(ISNUMBER((NºAsuntos!C18+NºAsuntos!E18)/NºAsuntos!G18),(NºAsuntos!C18+NºAsuntos!E18)/NºAsuntos!G18," - ")</f>
        <v>3.1748071979434447</v>
      </c>
      <c r="AP18" s="877" t="str">
        <f t="shared" si="2"/>
        <v xml:space="preserve"> - </v>
      </c>
      <c r="AQ18" s="877">
        <f>IF(ISNUMBER((H18-W18+K18)/(F18)),(H18-W18+K18)/(F18)," - ")</f>
        <v>-0.54558204768583451</v>
      </c>
      <c r="AR18" s="878">
        <f>IF(ISNUMBER((Datos!P18-Datos!Q18)/(Datos!R18-Datos!P18+Datos!Q18)),(Datos!P18-Datos!Q18)/(Datos!R18-Datos!P18+Datos!Q18)," - ")</f>
        <v>0.21739130434782608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713</v>
      </c>
      <c r="G19" s="821">
        <f t="shared" si="13"/>
        <v>736</v>
      </c>
      <c r="H19" s="820">
        <f t="shared" si="13"/>
        <v>0</v>
      </c>
      <c r="I19" s="822">
        <f t="shared" si="13"/>
        <v>0</v>
      </c>
      <c r="J19" s="822">
        <f t="shared" si="13"/>
        <v>0</v>
      </c>
      <c r="K19" s="881">
        <f t="shared" si="13"/>
        <v>0</v>
      </c>
      <c r="L19" s="822">
        <f t="shared" si="13"/>
        <v>115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389</v>
      </c>
      <c r="X19" s="821">
        <f t="shared" si="14"/>
        <v>90</v>
      </c>
      <c r="Y19" s="828">
        <f t="shared" si="14"/>
        <v>479</v>
      </c>
      <c r="Z19" s="828">
        <f t="shared" si="14"/>
        <v>0</v>
      </c>
      <c r="AA19" s="828">
        <f t="shared" si="14"/>
        <v>855</v>
      </c>
      <c r="AB19" s="828">
        <f t="shared" si="14"/>
        <v>1572</v>
      </c>
      <c r="AC19" s="828">
        <f t="shared" si="14"/>
        <v>911</v>
      </c>
      <c r="AD19" s="828">
        <f t="shared" si="14"/>
        <v>0</v>
      </c>
      <c r="AE19" s="830">
        <f t="shared" si="14"/>
        <v>0</v>
      </c>
      <c r="AF19" s="831">
        <f t="shared" si="14"/>
        <v>0</v>
      </c>
      <c r="AG19" s="832">
        <f t="shared" si="14"/>
        <v>0</v>
      </c>
      <c r="AH19" s="830">
        <f t="shared" si="14"/>
        <v>0</v>
      </c>
      <c r="AI19" s="820">
        <f t="shared" si="14"/>
        <v>98</v>
      </c>
      <c r="AJ19" s="820">
        <f t="shared" si="14"/>
        <v>0</v>
      </c>
      <c r="AK19" s="830">
        <f t="shared" si="14"/>
        <v>0</v>
      </c>
      <c r="AL19" s="884">
        <f>IF(ISNUMBER(NºAsuntos!G19/NºAsuntos!E19),NºAsuntos!G19/NºAsuntos!E19," - ")</f>
        <v>0.66041666666666665</v>
      </c>
      <c r="AM19" s="885">
        <f>IF(ISNUMBER(((NºAsuntos!I19/NºAsuntos!G19)*11)/factor_trimestre),((NºAsuntos!I19/NºAsuntos!G19)*11)/factor_trimestre," - ")</f>
        <v>8.3044164037854902</v>
      </c>
      <c r="AN19" s="885">
        <f>IF(ISNUMBER('Resol  Asuntos'!D19/NºAsuntos!G19),'Resol  Asuntos'!D19/NºAsuntos!G19," - ")</f>
        <v>0.15457413249211358</v>
      </c>
      <c r="AO19" s="886">
        <f>IF(ISNUMBER((NºAsuntos!C19+NºAsuntos!E19)/NºAsuntos!G19),(NºAsuntos!C19+NºAsuntos!E19)/NºAsuntos!G19," - ")</f>
        <v>3.7429022082018926</v>
      </c>
      <c r="AP19" s="887" t="str">
        <f t="shared" si="2"/>
        <v xml:space="preserve"> - </v>
      </c>
      <c r="AQ19" s="888">
        <f>IF(OR(ISNUMBER(FIND("01",Criterios!A8,1)),ISNUMBER(FIND("02",Criterios!A8,1)),ISNUMBER(FIND("03",Criterios!A8,1)),ISNUMBER(FIND("04",Criterios!A8,1))),(I19-W19+K19)/(F19-K19),(H19-W19+K19)/(F19-K19))</f>
        <v>-0.54558204768583451</v>
      </c>
      <c r="AR19" s="889">
        <f>IF(ISNUMBER((Datos!P19-Datos!Q19)/(Datos!R19-Datos!P19+Datos!Q19)),(Datos!P19-Datos!Q19)/(Datos!R19-Datos!P19+Datos!Q19)," - ")</f>
        <v>1.6160310277957338E-2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294.39999999999998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411.65074193220318</v>
      </c>
      <c r="G21" s="253">
        <f>IF(ISNUMBER(STDEV(G8:G18)),STDEV(G8:G18),"-")</f>
        <v>388.90204422193511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206.81223368069888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36.881793159588469</v>
      </c>
      <c r="AJ21" s="252">
        <f t="shared" si="18"/>
        <v>0</v>
      </c>
      <c r="AK21" s="254">
        <f t="shared" si="18"/>
        <v>0</v>
      </c>
      <c r="AL21" s="249">
        <f t="shared" si="18"/>
        <v>0.19737508780222604</v>
      </c>
      <c r="AM21" s="250">
        <f t="shared" si="18"/>
        <v>2.3807793943879005</v>
      </c>
      <c r="AN21" s="250">
        <f t="shared" si="18"/>
        <v>0.15974265116770769</v>
      </c>
      <c r="AO21" s="251">
        <f t="shared" si="18"/>
        <v>0.7870630056563972</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4CIrEnQLB6/6nb4FctY3HGoUDp0RufyAjtwH5Dd19bRKHsWqoF6utizLTMLWdEuhOpYfb/PC1k25gfXqDgnvXA==" saltValue="ac3auqiVsxPm/u0oZTXGA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ZARAGOZA</v>
      </c>
      <c r="E3" s="263"/>
    </row>
    <row r="4" spans="2:20" ht="17.25" customHeight="1" thickBot="1">
      <c r="D4" s="262" t="str">
        <f>Criterios!A11 &amp;"  "&amp;Criterios!B11</f>
        <v>Resumenes por Partidos Judiciales  EJEA DE LOS CABALLEROS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0.83720930232558144</v>
      </c>
      <c r="I12" s="350">
        <f>IF(ISNUMBER((Tasas!C12-Datos!BE12)/Datos!BE12),(Tasas!C12-Datos!BE12)/Datos!BE12," - ")</f>
        <v>0.96102501150836284</v>
      </c>
      <c r="J12" s="349">
        <f>IF(ISNUMBER((Tasas!D12-Datos!BF12)/Datos!BF12),(Tasas!D12-Datos!BF12)/Datos!BF12," - ")</f>
        <v>0.27188208616780041</v>
      </c>
      <c r="K12" s="351">
        <f>IF(ISNUMBER((Tasas!E12-Datos!BG12)/Datos!BG12),(Tasas!E12-Datos!BG12)/Datos!BG12," - ")</f>
        <v>0.61660664265706266</v>
      </c>
      <c r="M12" t="e">
        <f>IF(Monitorios="SI",Datos!CE12,0)</f>
        <v>#REF!</v>
      </c>
      <c r="N12" t="e">
        <f>IF(Monitorios="SI",Datos!CF12,0)</f>
        <v>#REF!</v>
      </c>
      <c r="O12" t="e">
        <f>IF(Monitorios="SI",Datos!CG12,0)</f>
        <v>#REF!</v>
      </c>
      <c r="P12" t="e">
        <f>IF(Monitorios="SI",Datos!CH12,0)</f>
        <v>#REF!</v>
      </c>
      <c r="Q12">
        <f>IF(J_V="SI",0,Datos!AG12)</f>
        <v>58</v>
      </c>
      <c r="R12">
        <f>IF(J_V="SI",0,Datos!AH12)</f>
        <v>11</v>
      </c>
      <c r="S12">
        <f>IF(J_V="SI",0,Datos!AI12)</f>
        <v>9</v>
      </c>
      <c r="T12">
        <f>IF(J_V="SI",0,Datos!AJ12)</f>
        <v>60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0.83720930232558144</v>
      </c>
      <c r="I13" s="357">
        <f>IF(ISNUMBER((Tasas!C13-Datos!BE13)/Datos!BE13),(Tasas!C13-Datos!BE13)/Datos!BE13," - ")</f>
        <v>0.96102501150836284</v>
      </c>
      <c r="J13" s="355">
        <f>IF(ISNUMBER((Tasas!D13-Datos!BF13)/Datos!BF13),(Tasas!D13-Datos!BF13)/Datos!BF13," - ")</f>
        <v>0.27188208616780041</v>
      </c>
      <c r="K13" s="358">
        <f>IF(ISNUMBER((Tasas!E13-Datos!BG13)/Datos!BG13),(Tasas!E13-Datos!BG13)/Datos!BG13," - ")</f>
        <v>0.61660664265706266</v>
      </c>
      <c r="M13" t="e">
        <f>IF(Monitorios="SI",Datos!CE13,0)</f>
        <v>#REF!</v>
      </c>
      <c r="N13" t="e">
        <f>IF(Monitorios="SI",Datos!CF13,0)</f>
        <v>#REF!</v>
      </c>
      <c r="O13" t="e">
        <f>IF(Monitorios="SI",Datos!CG13,0)</f>
        <v>#REF!</v>
      </c>
      <c r="P13" t="e">
        <f>IF(Monitorios="SI",Datos!CH13,0)</f>
        <v>#REF!</v>
      </c>
      <c r="Q13">
        <f>IF(J_V="SI",0,Datos!AG13)</f>
        <v>58</v>
      </c>
      <c r="R13">
        <f>IF(J_V="SI",0,Datos!AH13)</f>
        <v>11</v>
      </c>
      <c r="S13">
        <f>IF(J_V="SI",0,Datos!AI13)</f>
        <v>9</v>
      </c>
      <c r="T13">
        <f>IF(J_V="SI",0,Datos!AJ13)</f>
        <v>60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1.8852459016393444</v>
      </c>
      <c r="E16" s="348">
        <f>IF(ISNUMBER(
   IF(D_I="SI",(Datos!J16-Datos!T16)/Datos!T16,(Datos!J16+Datos!AD16-(Datos!T16+Datos!AL16))/(Datos!T16+Datos!AL16))
     ),IF(D_I="SI",(Datos!J16-Datos!T16)/Datos!T16,(Datos!J16+Datos!AD16-(Datos!T16+Datos!AL16))/(Datos!T16+Datos!AL16))," - ")</f>
        <v>0.10227272727272728</v>
      </c>
      <c r="F16" s="348">
        <f>IF(ISNUMBER(
   IF(D_I="SI",(Datos!K16-Datos!U16)/Datos!U16,(Datos!K16+Datos!AE16-(Datos!U16+Datos!AM16))/(Datos!U16+Datos!AM16))
     ),IF(D_I="SI",(Datos!K16-Datos!U16)/Datos!U16,(Datos!K16+Datos!AE16-(Datos!U16+Datos!AM16))/(Datos!U16+Datos!AM16))," - ")</f>
        <v>0.10294117647058823</v>
      </c>
      <c r="G16" s="349">
        <f>IF(ISNUMBER(
   IF(D_I="SI",(Datos!L16-Datos!V16)/Datos!V16,(Datos!L16+Datos!AF16-(Datos!V16+Datos!AN16))/(Datos!V16+Datos!AN16))
     ),IF(D_I="SI",(Datos!L16-Datos!V16)/Datos!V16,(Datos!L16+Datos!AF16-(Datos!V16+Datos!AN16))/(Datos!V16+Datos!AN16))," - ")</f>
        <v>1.3649425287356323</v>
      </c>
      <c r="H16" s="230">
        <f>IF(ISNUMBER((Datos!M16-Datos!W16)/Datos!W16),(Datos!M16-Datos!W16)/Datos!W16," - ")</f>
        <v>-0.29629629629629628</v>
      </c>
      <c r="I16" s="350">
        <f>IF(ISNUMBER((Tasas!C16-Datos!BE16)/Datos!BE16),(Tasas!C16-Datos!BE16)/Datos!BE16," - ")</f>
        <v>1.1442145593869733</v>
      </c>
      <c r="J16" s="349">
        <f>IF(ISNUMBER((Tasas!D16-Datos!BF16)/Datos!BF16),(Tasas!D16-Datos!BF16)/Datos!BF16," - ")</f>
        <v>-0.3619753086419753</v>
      </c>
      <c r="K16" s="351">
        <f>IF(ISNUMBER((Tasas!E16-Datos!BG16)/Datos!BG16),(Tasas!E16-Datos!BG16)/Datos!BG16," - ")</f>
        <v>0.57606237816764128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5.4</v>
      </c>
      <c r="E17" s="348">
        <f>IF(ISNUMBER(
   IF(D_I="SI",(Datos!J17-Datos!T17)/Datos!T17,(Datos!J17+Datos!AD17-(Datos!T17+Datos!AL17))/(Datos!T17+Datos!AL17))
     ),IF(D_I="SI",(Datos!J17-Datos!T17)/Datos!T17,(Datos!J17+Datos!AD17-(Datos!T17+Datos!AL17))/(Datos!T17+Datos!AL17))," - ")</f>
        <v>-0.39130434782608697</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1.2857142857142858</v>
      </c>
      <c r="H17" s="230">
        <f>IF(ISNUMBER((Datos!M17-Datos!W17)/Datos!W17),(Datos!M17-Datos!W17)/Datos!W17," - ")</f>
        <v>-1</v>
      </c>
      <c r="I17" s="350">
        <f>IF(ISNUMBER((Tasas!C17-Datos!BE17)/Datos!BE17),(Tasas!C17-Datos!BE17)/Datos!BE17," - ")</f>
        <v>1.2857142857142856</v>
      </c>
      <c r="J17" s="349">
        <f>IF(ISNUMBER((Tasas!D17-Datos!BF17)/Datos!BF17),(Tasas!D17-Datos!BF17)/Datos!BF17," - ")</f>
        <v>-1</v>
      </c>
      <c r="K17" s="351">
        <f>IF(ISNUMBER((Tasas!E17-Datos!BG17)/Datos!BG17),(Tasas!E17-Datos!BG17)/Datos!BG17," - ")</f>
        <v>0.64285714285714279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1.9558232931726907</v>
      </c>
      <c r="E18" s="354">
        <f>IF(ISNUMBER(
   IF(D_I="SI",(Datos!J18-Datos!T18)/Datos!T18,(Datos!J18+Datos!AD18-(Datos!T18+Datos!AL18))/(Datos!T18+Datos!AL18))
     ),IF(D_I="SI",(Datos!J18-Datos!T18)/Datos!T18,(Datos!J18+Datos!AD18-(Datos!T18+Datos!AL18))/(Datos!T18+Datos!AL18))," - ")</f>
        <v>7.775377969762419E-2</v>
      </c>
      <c r="F18" s="354">
        <f>IF(ISNUMBER(
   IF(D_I="SI",(Datos!K18-Datos!U18)/Datos!U18,(Datos!K18+Datos!AE18-(Datos!U18+Datos!AM18))/(Datos!U18+Datos!AM18))
     ),IF(D_I="SI",(Datos!K18-Datos!U18)/Datos!U18,(Datos!K18+Datos!AE18-(Datos!U18+Datos!AM18))/(Datos!U18+Datos!AM18))," - ")</f>
        <v>9.8870056497175146E-2</v>
      </c>
      <c r="G18" s="355">
        <f>IF(ISNUMBER(
   IF(D_I="SI",(Datos!L18-Datos!V18)/Datos!V18,(Datos!L18+Datos!AF18-(Datos!V18+Datos!AN18))/(Datos!V18+Datos!AN18))
     ),IF(D_I="SI",(Datos!L18-Datos!V18)/Datos!V18,(Datos!L18+Datos!AF18-(Datos!V18+Datos!AN18))/(Datos!V18+Datos!AN18))," - ")</f>
        <v>1.3618784530386741</v>
      </c>
      <c r="H18" s="356">
        <f>IF(ISNUMBER((Datos!M18-Datos!W18)/Datos!W18),(Datos!M18-Datos!W18)/Datos!W18," - ")</f>
        <v>-0.32142857142857145</v>
      </c>
      <c r="I18" s="357">
        <f>IF(ISNUMBER((Tasas!C18-Datos!BE18)/Datos!BE18),(Tasas!C18-Datos!BE18)/Datos!BE18," - ")</f>
        <v>1.1493701089349373</v>
      </c>
      <c r="J18" s="355">
        <f>IF(ISNUMBER((Tasas!D18-Datos!BF18)/Datos!BF18),(Tasas!D18-Datos!BF18)/Datos!BF18," - ")</f>
        <v>-0.382482556004407</v>
      </c>
      <c r="K18" s="358">
        <f>IF(ISNUMBER((Tasas!E18-Datos!BG18)/Datos!BG18),(Tasas!E18-Datos!BG18)/Datos!BG18," - ")</f>
        <v>0.57848560122469006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0.90431266846361191</v>
      </c>
      <c r="E19" s="363">
        <f>IF(ISNUMBER(
   IF(J_V="SI",(Datos!J19-Datos!T19)/Datos!T19,(Datos!J19+Datos!Z19-(Datos!T19+Datos!AH19))/(Datos!T19+Datos!AH19))
     ),IF(J_V="SI",(Datos!J19-Datos!T19)/Datos!T19,(Datos!J19+Datos!Z19-(Datos!T19+Datos!AH19))/(Datos!T19+Datos!AH19))," - ")</f>
        <v>0.22137404580152673</v>
      </c>
      <c r="F19" s="363">
        <f>IF(ISNUMBER(
   IF(J_V="SI",(Datos!K19-Datos!U19)/Datos!U19,(Datos!K19+Datos!AA19-(Datos!U19+Datos!AI19))/(Datos!U19+Datos!AI19))
     ),IF(J_V="SI",(Datos!K19-Datos!U19)/Datos!U19,(Datos!K19+Datos!AA19-(Datos!U19+Datos!AI19))/(Datos!U19+Datos!AI19))," - ")</f>
        <v>-6.269592476489028E-3</v>
      </c>
      <c r="G19" s="364">
        <f>IF(ISNUMBER(
   IF(J_V="SI",(Datos!L19-Datos!V19)/Datos!V19,(Datos!L19+Datos!AB19-(Datos!V19+Datos!AJ19))/(Datos!V19+Datos!AJ19))
     ),IF(J_V="SI",(Datos!L19-Datos!V19)/Datos!V19,(Datos!L19+Datos!AB19-(Datos!V19+Datos!AJ19))/(Datos!V19+Datos!AJ19))," - ")</f>
        <v>0.96308724832214765</v>
      </c>
      <c r="H19" s="365">
        <f>IF(ISNUMBER((Datos!M19-Datos!W19)/Datos!W19),(Datos!M19-Datos!W19)/Datos!W19," - ")</f>
        <v>0.38028169014084506</v>
      </c>
      <c r="I19" s="362">
        <f>IF(ISNUMBER((Tasas!C19-Datos!BE19)/Datos!BE19),(Tasas!C19-Datos!BE19)/Datos!BE19," - ")</f>
        <v>0.97547265682891193</v>
      </c>
      <c r="J19" s="363">
        <f>IF(ISNUMBER((Tasas!D19-Datos!BF19)/Datos!BF19),(Tasas!D19-Datos!BF19)/Datos!BF19," - ")</f>
        <v>-1.3817034700315473E-2</v>
      </c>
      <c r="K19" s="364">
        <f>IF(ISNUMBER((Tasas!E19-Datos!BG19)/Datos!BG19),(Tasas!E19-Datos!BG19)/Datos!BG19," - ")</f>
        <v>0.56280864452408863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2.009180211263228</v>
      </c>
      <c r="E21" s="278">
        <f t="shared" si="1"/>
        <v>0.27815913756018074</v>
      </c>
      <c r="F21" s="278">
        <f t="shared" si="1"/>
        <v>5.8293435740715147E-2</v>
      </c>
      <c r="G21" s="279">
        <f t="shared" si="1"/>
        <v>4.4884079279004251E-2</v>
      </c>
      <c r="H21" s="285">
        <f t="shared" si="1"/>
        <v>0.8050316480687506</v>
      </c>
      <c r="I21" s="277">
        <f t="shared" si="1"/>
        <v>0.13920296489396447</v>
      </c>
      <c r="J21" s="278">
        <f t="shared" si="1"/>
        <v>0.53311014310390137</v>
      </c>
      <c r="K21" s="279">
        <f t="shared" si="1"/>
        <v>2.8445902920553559E-2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BmGL5V2bEhxES1IMVXW9HeSdEgmLQLqc+MWdAQkYG4OzUsfvzazHL8ZZpChb85/ja/pFL1B77FYrNboOZSCvA==" saltValue="e2qwYH4fbQJY/RzYCRQmN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